
<file path=[Content_Types].xml><?xml version="1.0" encoding="utf-8"?>
<Types xmlns="http://schemas.openxmlformats.org/package/2006/content-types"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docProps/core.xml" ContentType="application/vnd.openxmlformats-package.core-properties+xml"/>
  <Default Extension="xml" ContentType="application/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Default Extension="rels" ContentType="application/vnd.openxmlformats-package.relationships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calcChain.xml" ContentType="application/vnd.openxmlformats-officedocument.spreadsheetml.calcChain+xml"/>
  <Override PartName="/xl/styles.xml" ContentType="application/vnd.openxmlformats-officedocument.spreadsheetml.styles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40" yWindow="-20" windowWidth="24880" windowHeight="13620" tabRatio="500"/>
  </bookViews>
  <sheets>
    <sheet name="Summary" sheetId="1" r:id="rId1"/>
    <sheet name="Revenue" sheetId="2" r:id="rId2"/>
    <sheet name="Expenses" sheetId="3" r:id="rId3"/>
    <sheet name="COGS" sheetId="7" r:id="rId4"/>
    <sheet name="Head Count" sheetId="4" r:id="rId5"/>
    <sheet name="Bill of Materials" sheetId="6" r:id="rId6"/>
    <sheet name="Distribution Model" sheetId="5" r:id="rId7"/>
  </sheets>
  <calcPr calcId="130406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83" i="6"/>
  <c r="G84"/>
  <c r="G85"/>
  <c r="G73"/>
  <c r="G79"/>
  <c r="G80"/>
  <c r="G67"/>
  <c r="G68"/>
  <c r="G69"/>
  <c r="G70"/>
  <c r="G71"/>
  <c r="G72"/>
  <c r="G74"/>
  <c r="G75"/>
  <c r="G76"/>
  <c r="G77"/>
  <c r="G63"/>
  <c r="G64"/>
  <c r="G87"/>
  <c r="G46"/>
  <c r="G47"/>
  <c r="G48"/>
  <c r="G31"/>
  <c r="G32"/>
  <c r="G33"/>
  <c r="G34"/>
  <c r="G35"/>
  <c r="G36"/>
  <c r="G37"/>
  <c r="G38"/>
  <c r="G39"/>
  <c r="G40"/>
  <c r="G41"/>
  <c r="G42"/>
  <c r="G43"/>
  <c r="G44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50"/>
  <c r="G88"/>
  <c r="G89"/>
  <c r="G90"/>
  <c r="G91"/>
  <c r="G92"/>
  <c r="G95"/>
  <c r="G96"/>
  <c r="G51"/>
  <c r="G52"/>
  <c r="G53"/>
  <c r="G54"/>
  <c r="G55"/>
  <c r="G58"/>
  <c r="G59"/>
  <c r="D105"/>
  <c r="D104"/>
  <c r="D106"/>
  <c r="D100"/>
  <c r="D101"/>
  <c r="D102"/>
  <c r="K98"/>
  <c r="K99"/>
  <c r="K100"/>
  <c r="J98"/>
  <c r="J99"/>
  <c r="J100"/>
  <c r="I98"/>
  <c r="I99"/>
  <c r="I100"/>
  <c r="H91"/>
  <c r="H92"/>
  <c r="H93"/>
  <c r="H94"/>
  <c r="H95"/>
  <c r="H96"/>
  <c r="H54"/>
  <c r="H55"/>
  <c r="H56"/>
  <c r="H57"/>
  <c r="H58"/>
  <c r="H59"/>
  <c r="B10" i="7"/>
  <c r="B14"/>
  <c r="B16"/>
  <c r="B45"/>
  <c r="B44"/>
  <c r="B42"/>
  <c r="B40"/>
  <c r="B39"/>
  <c r="B30"/>
  <c r="B31"/>
  <c r="B32"/>
  <c r="B33"/>
  <c r="B34"/>
  <c r="B35"/>
  <c r="B36"/>
  <c r="B37"/>
  <c r="B29"/>
  <c r="B23"/>
  <c r="B24"/>
  <c r="B25"/>
  <c r="B26"/>
  <c r="B27"/>
  <c r="B13"/>
  <c r="B15"/>
  <c r="B17"/>
  <c r="B18"/>
  <c r="B19"/>
  <c r="B20"/>
  <c r="B12"/>
  <c r="B9"/>
  <c r="B8"/>
  <c r="B7"/>
  <c r="F16" i="5"/>
  <c r="E16"/>
  <c r="D16"/>
  <c r="F15"/>
  <c r="E15"/>
  <c r="D15"/>
  <c r="C15"/>
  <c r="B15"/>
  <c r="F14"/>
  <c r="E14"/>
  <c r="D14"/>
  <c r="C14"/>
  <c r="B14"/>
  <c r="Q143" i="3"/>
  <c r="O143"/>
  <c r="M143"/>
  <c r="L143"/>
  <c r="G143"/>
  <c r="Q35"/>
  <c r="Q34"/>
  <c r="Q31"/>
  <c r="Q32"/>
  <c r="Q42"/>
  <c r="O42"/>
  <c r="P11"/>
  <c r="Q11"/>
  <c r="P39"/>
  <c r="Q39"/>
  <c r="P55"/>
  <c r="Q55"/>
  <c r="P62"/>
  <c r="Q62"/>
  <c r="P70"/>
  <c r="Q70"/>
  <c r="P93"/>
  <c r="Q93"/>
  <c r="P99"/>
  <c r="Q99"/>
  <c r="P105"/>
  <c r="Q105"/>
  <c r="P142"/>
  <c r="Q142"/>
  <c r="P140"/>
  <c r="Q140"/>
  <c r="Q138"/>
  <c r="Q134"/>
  <c r="Q131"/>
  <c r="Q130"/>
  <c r="Q129"/>
  <c r="Q125"/>
  <c r="Q123"/>
  <c r="Q122"/>
  <c r="Q121"/>
  <c r="Q120"/>
  <c r="Q97"/>
  <c r="Q79"/>
  <c r="Q64"/>
  <c r="Q37"/>
  <c r="Q36"/>
  <c r="Q33"/>
  <c r="Q27"/>
  <c r="Q29"/>
  <c r="Q28"/>
  <c r="Q25"/>
  <c r="Q20"/>
  <c r="R158"/>
  <c r="P158"/>
  <c r="R148"/>
  <c r="R149"/>
  <c r="R150"/>
  <c r="R151"/>
  <c r="R152"/>
  <c r="R153"/>
  <c r="R154"/>
  <c r="R155"/>
  <c r="R156"/>
  <c r="R147"/>
  <c r="P159"/>
  <c r="Q159"/>
  <c r="Q158"/>
  <c r="Q18"/>
  <c r="Q17"/>
  <c r="Q16"/>
  <c r="Q15"/>
  <c r="Q14"/>
  <c r="N142"/>
  <c r="O25"/>
  <c r="O27"/>
  <c r="O31"/>
  <c r="O32"/>
  <c r="O34"/>
  <c r="O35"/>
  <c r="O39"/>
  <c r="O55"/>
  <c r="O98"/>
  <c r="O99"/>
  <c r="N140"/>
  <c r="N105"/>
  <c r="O105"/>
  <c r="N99"/>
  <c r="N93"/>
  <c r="O93"/>
  <c r="N70"/>
  <c r="O70"/>
  <c r="N62"/>
  <c r="O62"/>
  <c r="N55"/>
  <c r="N39"/>
  <c r="N11"/>
  <c r="O11"/>
  <c r="O131"/>
  <c r="O125"/>
  <c r="O121"/>
  <c r="O120"/>
  <c r="N122"/>
  <c r="N123"/>
  <c r="O118"/>
  <c r="O116"/>
  <c r="O115"/>
  <c r="O114"/>
  <c r="N159"/>
  <c r="O159"/>
  <c r="O79"/>
  <c r="O64"/>
  <c r="O37"/>
  <c r="O36"/>
  <c r="O33"/>
  <c r="P150"/>
  <c r="N158"/>
  <c r="O158"/>
  <c r="P156"/>
  <c r="P155"/>
  <c r="P154"/>
  <c r="P153"/>
  <c r="P152"/>
  <c r="P151"/>
  <c r="P149"/>
  <c r="P148"/>
  <c r="P147"/>
  <c r="O18"/>
  <c r="O17"/>
  <c r="O16"/>
  <c r="O15"/>
  <c r="O14"/>
  <c r="M158"/>
  <c r="M125"/>
  <c r="M114"/>
  <c r="M115"/>
  <c r="M116"/>
  <c r="M118"/>
  <c r="M120"/>
  <c r="M121"/>
  <c r="M159"/>
  <c r="M131"/>
  <c r="M105"/>
  <c r="M98"/>
  <c r="M99"/>
  <c r="M79"/>
  <c r="M93"/>
  <c r="M64"/>
  <c r="M70"/>
  <c r="M62"/>
  <c r="M42"/>
  <c r="M44"/>
  <c r="M55"/>
  <c r="M14"/>
  <c r="M15"/>
  <c r="M16"/>
  <c r="M17"/>
  <c r="M18"/>
  <c r="M24"/>
  <c r="N147"/>
  <c r="N148"/>
  <c r="N149"/>
  <c r="N151"/>
  <c r="N152"/>
  <c r="N153"/>
  <c r="N154"/>
  <c r="N155"/>
  <c r="N156"/>
  <c r="M25"/>
  <c r="M27"/>
  <c r="M28"/>
  <c r="M29"/>
  <c r="M31"/>
  <c r="M32"/>
  <c r="M33"/>
  <c r="M34"/>
  <c r="M35"/>
  <c r="M36"/>
  <c r="M37"/>
  <c r="M39"/>
  <c r="M11"/>
  <c r="L118"/>
  <c r="L158"/>
  <c r="L42"/>
  <c r="L159"/>
  <c r="L79"/>
  <c r="L116"/>
  <c r="L115"/>
  <c r="H158"/>
  <c r="H125"/>
  <c r="H122"/>
  <c r="H123"/>
  <c r="H129"/>
  <c r="H130"/>
  <c r="H159"/>
  <c r="H131"/>
  <c r="H140"/>
  <c r="H105"/>
  <c r="H99"/>
  <c r="H93"/>
  <c r="H70"/>
  <c r="H62"/>
  <c r="H55"/>
  <c r="H39"/>
  <c r="H11"/>
  <c r="H142"/>
  <c r="I158"/>
  <c r="I125"/>
  <c r="I122"/>
  <c r="I123"/>
  <c r="I129"/>
  <c r="I130"/>
  <c r="I159"/>
  <c r="I131"/>
  <c r="I140"/>
  <c r="I105"/>
  <c r="I99"/>
  <c r="I93"/>
  <c r="I70"/>
  <c r="I62"/>
  <c r="I55"/>
  <c r="I39"/>
  <c r="I11"/>
  <c r="I142"/>
  <c r="J158"/>
  <c r="J125"/>
  <c r="J122"/>
  <c r="J123"/>
  <c r="J129"/>
  <c r="J130"/>
  <c r="J159"/>
  <c r="J131"/>
  <c r="J140"/>
  <c r="J105"/>
  <c r="J99"/>
  <c r="J93"/>
  <c r="J70"/>
  <c r="J62"/>
  <c r="J55"/>
  <c r="J39"/>
  <c r="J11"/>
  <c r="J142"/>
  <c r="K158"/>
  <c r="K125"/>
  <c r="K122"/>
  <c r="K123"/>
  <c r="K129"/>
  <c r="K130"/>
  <c r="K159"/>
  <c r="K131"/>
  <c r="K140"/>
  <c r="K105"/>
  <c r="K99"/>
  <c r="K93"/>
  <c r="K70"/>
  <c r="K62"/>
  <c r="K55"/>
  <c r="K39"/>
  <c r="K11"/>
  <c r="K142"/>
  <c r="L114"/>
  <c r="L120"/>
  <c r="L121"/>
  <c r="L125"/>
  <c r="L131"/>
  <c r="L126"/>
  <c r="L93"/>
  <c r="L70"/>
  <c r="L44"/>
  <c r="L55"/>
  <c r="L105"/>
  <c r="L98"/>
  <c r="L99"/>
  <c r="L62"/>
  <c r="L14"/>
  <c r="L15"/>
  <c r="L16"/>
  <c r="L17"/>
  <c r="L18"/>
  <c r="L24"/>
  <c r="L37"/>
  <c r="L39"/>
  <c r="L11"/>
  <c r="G62"/>
  <c r="G158"/>
  <c r="G42"/>
  <c r="G14"/>
  <c r="G15"/>
  <c r="G16"/>
  <c r="G17"/>
  <c r="G18"/>
  <c r="G24"/>
  <c r="G37"/>
  <c r="G39"/>
  <c r="G41"/>
  <c r="G43"/>
  <c r="G50"/>
  <c r="G55"/>
  <c r="G125"/>
  <c r="G126"/>
  <c r="G114"/>
  <c r="G115"/>
  <c r="G122"/>
  <c r="G123"/>
  <c r="G129"/>
  <c r="G130"/>
  <c r="G159"/>
  <c r="G131"/>
  <c r="G140"/>
  <c r="G105"/>
  <c r="G98"/>
  <c r="G99"/>
  <c r="G79"/>
  <c r="G93"/>
  <c r="G70"/>
  <c r="G11"/>
  <c r="G142"/>
  <c r="L119"/>
  <c r="L122"/>
  <c r="L123"/>
  <c r="L130"/>
  <c r="L129"/>
  <c r="L140"/>
  <c r="L142"/>
  <c r="O119"/>
  <c r="O122"/>
  <c r="O123"/>
  <c r="O130"/>
  <c r="O129"/>
  <c r="O140"/>
  <c r="O142"/>
  <c r="M119"/>
  <c r="M122"/>
  <c r="M123"/>
  <c r="M130"/>
  <c r="M129"/>
  <c r="M140"/>
  <c r="M142"/>
  <c r="H23" i="4"/>
  <c r="I23"/>
  <c r="J23"/>
  <c r="K23"/>
  <c r="L23"/>
  <c r="M23"/>
  <c r="N23"/>
  <c r="O23"/>
  <c r="G23"/>
  <c r="M21"/>
  <c r="N21"/>
  <c r="O21"/>
  <c r="L21"/>
  <c r="G21"/>
  <c r="H20"/>
  <c r="I20"/>
  <c r="J20"/>
  <c r="K20"/>
  <c r="H22" i="2"/>
  <c r="H16"/>
  <c r="H24"/>
  <c r="I22"/>
  <c r="I16"/>
  <c r="I24"/>
  <c r="J22"/>
  <c r="J16"/>
  <c r="J24"/>
  <c r="K22"/>
  <c r="K16"/>
  <c r="K24"/>
  <c r="L13"/>
  <c r="L14"/>
  <c r="L15"/>
  <c r="L16"/>
  <c r="L19"/>
  <c r="L20"/>
  <c r="L21"/>
  <c r="L22"/>
  <c r="L24"/>
  <c r="M13"/>
  <c r="M14"/>
  <c r="M15"/>
  <c r="M16"/>
  <c r="M19"/>
  <c r="M20"/>
  <c r="M21"/>
  <c r="M22"/>
  <c r="M24"/>
  <c r="N13"/>
  <c r="N14"/>
  <c r="N15"/>
  <c r="N16"/>
  <c r="N19"/>
  <c r="N20"/>
  <c r="N21"/>
  <c r="N22"/>
  <c r="N24"/>
  <c r="O13"/>
  <c r="O14"/>
  <c r="O15"/>
  <c r="O16"/>
  <c r="O19"/>
  <c r="O20"/>
  <c r="O21"/>
  <c r="O22"/>
  <c r="O24"/>
  <c r="G13"/>
  <c r="G14"/>
  <c r="G15"/>
  <c r="G16"/>
  <c r="G19"/>
  <c r="G20"/>
  <c r="G21"/>
  <c r="G22"/>
  <c r="G24"/>
  <c r="M10"/>
  <c r="N10"/>
  <c r="O10"/>
  <c r="M9"/>
  <c r="N9"/>
  <c r="O9"/>
  <c r="L10"/>
  <c r="L9"/>
  <c r="G10"/>
  <c r="G9"/>
  <c r="O7" i="1"/>
  <c r="O8"/>
  <c r="O9"/>
  <c r="O14"/>
  <c r="O28"/>
  <c r="O30"/>
  <c r="O34"/>
  <c r="O36"/>
  <c r="O37"/>
  <c r="O39"/>
  <c r="N7"/>
  <c r="N8"/>
  <c r="N9"/>
  <c r="N14"/>
  <c r="M7"/>
  <c r="M8"/>
  <c r="M9"/>
  <c r="M14"/>
  <c r="O26"/>
  <c r="O25"/>
  <c r="O24"/>
  <c r="O23"/>
  <c r="O22"/>
  <c r="O21"/>
  <c r="O20"/>
  <c r="O19"/>
  <c r="O18"/>
  <c r="O17"/>
  <c r="N24"/>
  <c r="N23"/>
  <c r="N22"/>
  <c r="N21"/>
  <c r="N20"/>
  <c r="N19"/>
  <c r="N18"/>
  <c r="N17"/>
  <c r="L7"/>
  <c r="L8"/>
  <c r="L9"/>
  <c r="L14"/>
  <c r="L34"/>
  <c r="G7"/>
  <c r="G8"/>
  <c r="G9"/>
  <c r="G14"/>
  <c r="G28"/>
  <c r="G30"/>
  <c r="G34"/>
  <c r="G36"/>
  <c r="G39"/>
  <c r="L33"/>
  <c r="N34"/>
  <c r="M34"/>
  <c r="H8"/>
  <c r="I8"/>
  <c r="J8"/>
  <c r="K8"/>
  <c r="H28"/>
  <c r="H30"/>
  <c r="I28"/>
  <c r="I30"/>
  <c r="J28"/>
  <c r="J30"/>
  <c r="K28"/>
  <c r="K30"/>
  <c r="H5"/>
  <c r="I5"/>
  <c r="J5"/>
  <c r="K5"/>
  <c r="L5"/>
  <c r="M5"/>
  <c r="N5"/>
  <c r="O5"/>
  <c r="H6"/>
  <c r="I6"/>
  <c r="J6"/>
  <c r="K6"/>
  <c r="L6"/>
  <c r="M6"/>
  <c r="N6"/>
  <c r="O6"/>
  <c r="H7"/>
  <c r="I7"/>
  <c r="J7"/>
  <c r="K7"/>
  <c r="H9"/>
  <c r="I9"/>
  <c r="J9"/>
  <c r="K9"/>
  <c r="H10"/>
  <c r="I10"/>
  <c r="J10"/>
  <c r="K10"/>
  <c r="L10"/>
  <c r="M10"/>
  <c r="N10"/>
  <c r="O10"/>
  <c r="H17"/>
  <c r="I17"/>
  <c r="J17"/>
  <c r="K17"/>
  <c r="L17"/>
  <c r="M17"/>
  <c r="H18"/>
  <c r="I18"/>
  <c r="J18"/>
  <c r="K18"/>
  <c r="L18"/>
  <c r="M18"/>
  <c r="H19"/>
  <c r="I19"/>
  <c r="J19"/>
  <c r="K19"/>
  <c r="L19"/>
  <c r="M19"/>
  <c r="H20"/>
  <c r="I20"/>
  <c r="J20"/>
  <c r="K20"/>
  <c r="L20"/>
  <c r="M20"/>
  <c r="H21"/>
  <c r="I21"/>
  <c r="J21"/>
  <c r="K21"/>
  <c r="L21"/>
  <c r="M21"/>
  <c r="H22"/>
  <c r="I22"/>
  <c r="J22"/>
  <c r="K22"/>
  <c r="L22"/>
  <c r="M22"/>
  <c r="H23"/>
  <c r="I23"/>
  <c r="J23"/>
  <c r="K23"/>
  <c r="L23"/>
  <c r="M23"/>
  <c r="H24"/>
  <c r="I24"/>
  <c r="J24"/>
  <c r="K24"/>
  <c r="L24"/>
  <c r="M24"/>
  <c r="H25"/>
  <c r="I25"/>
  <c r="J25"/>
  <c r="K25"/>
  <c r="H26"/>
  <c r="I26"/>
  <c r="J26"/>
  <c r="K26"/>
  <c r="G26"/>
  <c r="G25"/>
  <c r="G24"/>
  <c r="G23"/>
  <c r="G22"/>
  <c r="G21"/>
  <c r="G20"/>
  <c r="G19"/>
  <c r="G18"/>
  <c r="G17"/>
  <c r="G10"/>
  <c r="G6"/>
  <c r="G5"/>
  <c r="N28"/>
  <c r="N30"/>
  <c r="N36"/>
  <c r="N37"/>
  <c r="N39"/>
  <c r="L28"/>
  <c r="L30"/>
  <c r="L36"/>
  <c r="L39"/>
  <c r="M33"/>
  <c r="M28"/>
  <c r="M30"/>
  <c r="M36"/>
  <c r="M37"/>
  <c r="M39"/>
  <c r="N26"/>
  <c r="N25"/>
  <c r="L25"/>
  <c r="M25"/>
  <c r="L26"/>
  <c r="M26"/>
</calcChain>
</file>

<file path=xl/sharedStrings.xml><?xml version="1.0" encoding="utf-8"?>
<sst xmlns="http://schemas.openxmlformats.org/spreadsheetml/2006/main" count="405" uniqueCount="304">
  <si>
    <t>Expenses</t>
    <phoneticPr fontId="3" type="noConversion"/>
  </si>
  <si>
    <t>Total Corporate Formation</t>
    <phoneticPr fontId="3" type="noConversion"/>
  </si>
  <si>
    <t>Total Overhead</t>
    <phoneticPr fontId="3" type="noConversion"/>
  </si>
  <si>
    <t>Total Services</t>
    <phoneticPr fontId="3" type="noConversion"/>
  </si>
  <si>
    <t>Total Capital Equipment</t>
    <phoneticPr fontId="3" type="noConversion"/>
  </si>
  <si>
    <t>Utilities (electricty)</t>
    <phoneticPr fontId="3" type="noConversion"/>
  </si>
  <si>
    <t>Total Prototyping</t>
    <phoneticPr fontId="3" type="noConversion"/>
  </si>
  <si>
    <t>Total Marketing/Advertising</t>
    <phoneticPr fontId="3" type="noConversion"/>
  </si>
  <si>
    <t>Total Warehousing</t>
    <phoneticPr fontId="3" type="noConversion"/>
  </si>
  <si>
    <t>Total Testing</t>
    <phoneticPr fontId="3" type="noConversion"/>
  </si>
  <si>
    <t>Total Salaries</t>
    <phoneticPr fontId="3" type="noConversion"/>
  </si>
  <si>
    <t>Total Full Salaries</t>
    <phoneticPr fontId="3" type="noConversion"/>
  </si>
  <si>
    <t>Total Payroll</t>
    <phoneticPr fontId="3" type="noConversion"/>
  </si>
  <si>
    <t>Total Expenses</t>
    <phoneticPr fontId="3" type="noConversion"/>
  </si>
  <si>
    <t>(Total Ammortizable Expenses)</t>
    <phoneticPr fontId="3" type="noConversion"/>
  </si>
  <si>
    <t>Number of Employees</t>
    <phoneticPr fontId="3" type="noConversion"/>
  </si>
  <si>
    <t>Packaging</t>
    <phoneticPr fontId="3" type="noConversion"/>
  </si>
  <si>
    <t>Subtotal</t>
    <phoneticPr fontId="3" type="noConversion"/>
  </si>
  <si>
    <t>Subtotal</t>
    <phoneticPr fontId="3" type="noConversion"/>
  </si>
  <si>
    <t>Subtotal</t>
    <phoneticPr fontId="3" type="noConversion"/>
  </si>
  <si>
    <t>Packaging</t>
    <phoneticPr fontId="3" type="noConversion"/>
  </si>
  <si>
    <t>1Q09</t>
    <phoneticPr fontId="3" type="noConversion"/>
  </si>
  <si>
    <t>2Q09</t>
    <phoneticPr fontId="3" type="noConversion"/>
  </si>
  <si>
    <t>3Q09</t>
    <phoneticPr fontId="3" type="noConversion"/>
  </si>
  <si>
    <t>4Q09</t>
    <phoneticPr fontId="3" type="noConversion"/>
  </si>
  <si>
    <t>Total</t>
    <phoneticPr fontId="3" type="noConversion"/>
  </si>
  <si>
    <t>Total Full-Time</t>
    <phoneticPr fontId="3" type="noConversion"/>
  </si>
  <si>
    <t>COGS</t>
    <phoneticPr fontId="3" type="noConversion"/>
  </si>
  <si>
    <t>Packaging</t>
    <phoneticPr fontId="3" type="noConversion"/>
  </si>
  <si>
    <t>Packaging</t>
    <phoneticPr fontId="3" type="noConversion"/>
  </si>
  <si>
    <t>Revenue</t>
    <phoneticPr fontId="3" type="noConversion"/>
  </si>
  <si>
    <t>1Q09</t>
    <phoneticPr fontId="3" type="noConversion"/>
  </si>
  <si>
    <t>2Q09</t>
    <phoneticPr fontId="3" type="noConversion"/>
  </si>
  <si>
    <t>3Q09</t>
    <phoneticPr fontId="3" type="noConversion"/>
  </si>
  <si>
    <t>4Q09</t>
    <phoneticPr fontId="3" type="noConversion"/>
  </si>
  <si>
    <t>1Q10</t>
    <phoneticPr fontId="3" type="noConversion"/>
  </si>
  <si>
    <t>2Q10</t>
    <phoneticPr fontId="3" type="noConversion"/>
  </si>
  <si>
    <t>3Q10</t>
    <phoneticPr fontId="3" type="noConversion"/>
  </si>
  <si>
    <t>4Q10</t>
    <phoneticPr fontId="3" type="noConversion"/>
  </si>
  <si>
    <t>Number of Customers</t>
    <phoneticPr fontId="3" type="noConversion"/>
  </si>
  <si>
    <t>Panel Sales</t>
    <phoneticPr fontId="3" type="noConversion"/>
  </si>
  <si>
    <t>Direct</t>
    <phoneticPr fontId="3" type="noConversion"/>
  </si>
  <si>
    <t>One-Tier</t>
    <phoneticPr fontId="3" type="noConversion"/>
  </si>
  <si>
    <t>Two-Tier</t>
    <phoneticPr fontId="3" type="noConversion"/>
  </si>
  <si>
    <t>Subtotal</t>
    <phoneticPr fontId="3" type="noConversion"/>
  </si>
  <si>
    <t>Inverter Sales</t>
    <phoneticPr fontId="3" type="noConversion"/>
  </si>
  <si>
    <t>Direct</t>
    <phoneticPr fontId="3" type="noConversion"/>
  </si>
  <si>
    <t>One-Tier</t>
    <phoneticPr fontId="3" type="noConversion"/>
  </si>
  <si>
    <t>Two-Tier</t>
    <phoneticPr fontId="3" type="noConversion"/>
  </si>
  <si>
    <t>Subtotal</t>
    <phoneticPr fontId="3" type="noConversion"/>
  </si>
  <si>
    <t>Total Sales</t>
    <phoneticPr fontId="3" type="noConversion"/>
  </si>
  <si>
    <t>Panel Sales</t>
    <phoneticPr fontId="3" type="noConversion"/>
  </si>
  <si>
    <t>Other Income</t>
    <phoneticPr fontId="3" type="noConversion"/>
  </si>
  <si>
    <t>Total Income</t>
    <phoneticPr fontId="3" type="noConversion"/>
  </si>
  <si>
    <t>EBITDA</t>
    <phoneticPr fontId="3" type="noConversion"/>
  </si>
  <si>
    <t>NET INCOME</t>
    <phoneticPr fontId="3" type="noConversion"/>
  </si>
  <si>
    <t>1Q09</t>
    <phoneticPr fontId="3" type="noConversion"/>
  </si>
  <si>
    <t>2Q09</t>
    <phoneticPr fontId="3" type="noConversion"/>
  </si>
  <si>
    <t>3Q09</t>
    <phoneticPr fontId="3" type="noConversion"/>
  </si>
  <si>
    <t>4Q09</t>
    <phoneticPr fontId="3" type="noConversion"/>
  </si>
  <si>
    <t>1Q10</t>
    <phoneticPr fontId="3" type="noConversion"/>
  </si>
  <si>
    <t>2Q10</t>
    <phoneticPr fontId="3" type="noConversion"/>
  </si>
  <si>
    <t>3Q10</t>
    <phoneticPr fontId="3" type="noConversion"/>
  </si>
  <si>
    <t>4Q10</t>
    <phoneticPr fontId="3" type="noConversion"/>
  </si>
  <si>
    <t>Veranda Solar</t>
    <phoneticPr fontId="3" type="noConversion"/>
  </si>
  <si>
    <t>Financial Forecast</t>
    <phoneticPr fontId="3" type="noConversion"/>
  </si>
  <si>
    <t>401K</t>
  </si>
  <si>
    <t>Medicare</t>
  </si>
  <si>
    <t>Unemployment Insurance</t>
  </si>
  <si>
    <t>Reserve Entity Name</t>
  </si>
  <si>
    <t>Incorporate</t>
  </si>
  <si>
    <t>Lawyers</t>
  </si>
  <si>
    <t>gas</t>
  </si>
  <si>
    <t>water</t>
  </si>
  <si>
    <t>garbage</t>
  </si>
  <si>
    <t>electric</t>
  </si>
  <si>
    <t>phones</t>
  </si>
  <si>
    <t>Paper/pens, etc.</t>
  </si>
  <si>
    <t>Toner</t>
  </si>
  <si>
    <t>Backup drives</t>
  </si>
  <si>
    <t>Cloud computing</t>
  </si>
  <si>
    <t>Software</t>
  </si>
  <si>
    <t>Computers</t>
  </si>
  <si>
    <t>Printers</t>
  </si>
  <si>
    <t>Phones/Fax</t>
  </si>
  <si>
    <t>Copiers</t>
  </si>
  <si>
    <t>Tables/Desks</t>
  </si>
  <si>
    <t>Chairs</t>
  </si>
  <si>
    <t>Kitchen Stuff</t>
  </si>
  <si>
    <t>Filing Cabinets</t>
  </si>
  <si>
    <t>Lighting</t>
  </si>
  <si>
    <t>AV</t>
  </si>
  <si>
    <t>Lawyer</t>
  </si>
  <si>
    <t>Funding</t>
  </si>
  <si>
    <t>Laminator</t>
  </si>
  <si>
    <t>Robots</t>
  </si>
  <si>
    <t>Line</t>
  </si>
  <si>
    <t>Brake</t>
  </si>
  <si>
    <t>Move/Install Equipment</t>
  </si>
  <si>
    <t>Labor</t>
  </si>
  <si>
    <t>web</t>
  </si>
  <si>
    <t>Domain Name Registration</t>
  </si>
  <si>
    <t>Hosting</t>
  </si>
  <si>
    <t>Front End Design</t>
  </si>
  <si>
    <t>Back End Design/Prog.</t>
  </si>
  <si>
    <t>Brochure</t>
  </si>
  <si>
    <t>Business Cards</t>
  </si>
  <si>
    <t>Billboard</t>
  </si>
  <si>
    <t>Train/bus</t>
  </si>
  <si>
    <t>Web</t>
  </si>
  <si>
    <t>Banners</t>
  </si>
  <si>
    <t>Fees</t>
  </si>
  <si>
    <t>Booth</t>
  </si>
  <si>
    <t>Collateral</t>
  </si>
  <si>
    <t>Product Placement</t>
  </si>
  <si>
    <t>Shelf Fees</t>
  </si>
  <si>
    <t>Parts</t>
  </si>
  <si>
    <t>Assemblies</t>
  </si>
  <si>
    <t>Shipping</t>
  </si>
  <si>
    <t>Life Insurance</t>
  </si>
  <si>
    <t>Gov't tax withholdings</t>
  </si>
  <si>
    <t>Social Security</t>
  </si>
  <si>
    <t>Sick Pay</t>
  </si>
  <si>
    <t>Vacation Allowances</t>
  </si>
  <si>
    <t>Train Ticket Program</t>
  </si>
  <si>
    <t>Education Expenses</t>
  </si>
  <si>
    <t>Bonuses</t>
  </si>
  <si>
    <t>Dependent Care</t>
  </si>
  <si>
    <t>Daycare</t>
  </si>
  <si>
    <t>Celebrations</t>
  </si>
  <si>
    <t>Number of Employees</t>
  </si>
  <si>
    <t>Engineers</t>
  </si>
  <si>
    <t>Designers</t>
  </si>
  <si>
    <t>Operations</t>
  </si>
  <si>
    <t>Management</t>
  </si>
  <si>
    <t>Finance</t>
  </si>
  <si>
    <t>TOTAL</t>
  </si>
  <si>
    <t>Contract</t>
  </si>
  <si>
    <t>Small Run Tooling</t>
  </si>
  <si>
    <t>Proto Tooling</t>
  </si>
  <si>
    <t>Panel System</t>
  </si>
  <si>
    <t xml:space="preserve">Panel Mounting </t>
  </si>
  <si>
    <t>Panel Ret Top/Bottom</t>
  </si>
  <si>
    <t>Panel Ret Extruded Bracket</t>
  </si>
  <si>
    <t>Screws</t>
  </si>
  <si>
    <t>Window Mount</t>
  </si>
  <si>
    <t>Window Mount Screws</t>
  </si>
  <si>
    <t>Panel Mount</t>
  </si>
  <si>
    <t>Leg</t>
  </si>
  <si>
    <t>Leg Bumper</t>
  </si>
  <si>
    <t>Axles</t>
  </si>
  <si>
    <t>Spring Washers</t>
  </si>
  <si>
    <t>Elect Box Housing (off shelf)</t>
  </si>
  <si>
    <t>Elect Box Door</t>
  </si>
  <si>
    <t>Elect Box screws</t>
  </si>
  <si>
    <t>Elect Box seal</t>
  </si>
  <si>
    <t>Elect Box mnt screws</t>
  </si>
  <si>
    <t>Cable seal</t>
  </si>
  <si>
    <t>Loss Carryover</t>
  </si>
  <si>
    <t>Amortization</t>
  </si>
  <si>
    <t>Tooling I &amp; II (amortized)</t>
  </si>
  <si>
    <t>Taxes</t>
  </si>
  <si>
    <t>Taxable Income</t>
    <phoneticPr fontId="3" type="noConversion"/>
  </si>
  <si>
    <t>Expenses</t>
  </si>
  <si>
    <t>Gross Sales</t>
    <phoneticPr fontId="3" type="noConversion"/>
  </si>
  <si>
    <t>Inverter Sales</t>
    <phoneticPr fontId="3" type="noConversion"/>
  </si>
  <si>
    <t>Corporate Formation</t>
  </si>
  <si>
    <t>Overhead</t>
  </si>
  <si>
    <t>Services</t>
  </si>
  <si>
    <t>Capital Equipment</t>
  </si>
  <si>
    <t>Prototyping</t>
  </si>
  <si>
    <t>Marketing/Advertising</t>
  </si>
  <si>
    <t>Warehousing</t>
  </si>
  <si>
    <t>Testing</t>
  </si>
  <si>
    <t>Salaries</t>
  </si>
  <si>
    <t>Payroll</t>
  </si>
  <si>
    <t>Utilities</t>
  </si>
  <si>
    <t>Office Supplies</t>
  </si>
  <si>
    <t>IT</t>
  </si>
  <si>
    <t>Office Equipment</t>
  </si>
  <si>
    <t>Rent</t>
  </si>
  <si>
    <t>Insurance (Corporate)</t>
  </si>
  <si>
    <t>Accounting</t>
  </si>
  <si>
    <t>Cleaning</t>
  </si>
  <si>
    <t>Maintenance</t>
  </si>
  <si>
    <t>Notary</t>
  </si>
  <si>
    <t>IP</t>
  </si>
  <si>
    <t>Contracts</t>
  </si>
  <si>
    <t>1Q09</t>
    <phoneticPr fontId="3" type="noConversion"/>
  </si>
  <si>
    <t>2Q09</t>
    <phoneticPr fontId="3" type="noConversion"/>
  </si>
  <si>
    <t>3Q09</t>
    <phoneticPr fontId="3" type="noConversion"/>
  </si>
  <si>
    <t>4Q09</t>
    <phoneticPr fontId="3" type="noConversion"/>
  </si>
  <si>
    <t>1Q10</t>
    <phoneticPr fontId="3" type="noConversion"/>
  </si>
  <si>
    <t>2Q10</t>
    <phoneticPr fontId="3" type="noConversion"/>
  </si>
  <si>
    <t>3Q10</t>
    <phoneticPr fontId="3" type="noConversion"/>
  </si>
  <si>
    <t>4Q10</t>
    <phoneticPr fontId="3" type="noConversion"/>
  </si>
  <si>
    <t>TOTAL Full-time</t>
  </si>
  <si>
    <t>Engineering</t>
  </si>
  <si>
    <t>CAD/CAM</t>
  </si>
  <si>
    <t>EE</t>
  </si>
  <si>
    <t>ME</t>
  </si>
  <si>
    <t>Metal/Rubber/Commodities</t>
  </si>
  <si>
    <t>Machining</t>
  </si>
  <si>
    <t>Misc (weld wire, etc)</t>
  </si>
  <si>
    <t>Print/Advertising</t>
  </si>
  <si>
    <t>Trade Shows</t>
  </si>
  <si>
    <t>In-Store</t>
  </si>
  <si>
    <t>UL</t>
  </si>
  <si>
    <t>Quick Connect Cables - Male</t>
  </si>
  <si>
    <t>Quick Connect Cables - Female</t>
  </si>
  <si>
    <t>30% supplier markup</t>
  </si>
  <si>
    <t>Box</t>
  </si>
  <si>
    <t>Manual</t>
  </si>
  <si>
    <t>Panel System Subtotal</t>
  </si>
  <si>
    <t>Error Factor</t>
  </si>
  <si>
    <t>Burdened Subtotal</t>
  </si>
  <si>
    <t>Wholesale Margin</t>
  </si>
  <si>
    <t>Wholesale Cost</t>
  </si>
  <si>
    <t>Distributor Margin</t>
  </si>
  <si>
    <t>Distributor Cost</t>
  </si>
  <si>
    <t>Retail Margin</t>
  </si>
  <si>
    <t>Retail Cost</t>
  </si>
  <si>
    <t>Power Converter</t>
  </si>
  <si>
    <t>Accelerated Aging</t>
  </si>
  <si>
    <t>Other Certifications</t>
  </si>
  <si>
    <t>International Certification</t>
  </si>
  <si>
    <t>CEO</t>
  </si>
  <si>
    <t>Director Engineering</t>
  </si>
  <si>
    <t>Director Design/Research</t>
  </si>
  <si>
    <t>Director Manufacturing</t>
  </si>
  <si>
    <t>Director Sales/Marketing</t>
  </si>
  <si>
    <t>Director Operations</t>
  </si>
  <si>
    <t>Director Finance</t>
  </si>
  <si>
    <t>Design</t>
  </si>
  <si>
    <t>Manufacturing</t>
  </si>
  <si>
    <t>Marketing</t>
  </si>
  <si>
    <t>Sales</t>
  </si>
  <si>
    <t>Support</t>
  </si>
  <si>
    <t>Warehouse</t>
  </si>
  <si>
    <t>Healthcare</t>
  </si>
  <si>
    <t>Bil of Materials</t>
    <phoneticPr fontId="3" type="noConversion"/>
  </si>
  <si>
    <t>Penetration</t>
  </si>
  <si>
    <t>Quick Connect Cables</t>
  </si>
  <si>
    <t xml:space="preserve">Power Converter Enclosure </t>
  </si>
  <si>
    <t>Top</t>
  </si>
  <si>
    <t>Bottom</t>
  </si>
  <si>
    <t>Electric Mounting Screws</t>
  </si>
  <si>
    <t>Fan</t>
  </si>
  <si>
    <t>3-Prong Cable</t>
  </si>
  <si>
    <t>Cable Grommet</t>
  </si>
  <si>
    <t>Vibration Grommets</t>
  </si>
  <si>
    <t>AC Receptacle</t>
  </si>
  <si>
    <t>Power Cleaner</t>
  </si>
  <si>
    <t>Power Converter Subtotal</t>
  </si>
  <si>
    <t>Tooling Subtotal</t>
  </si>
  <si>
    <t>Tooling Error Factor</t>
  </si>
  <si>
    <t>Unburdened Cost Inverter</t>
  </si>
  <si>
    <t>Unburdened Cost Panel</t>
  </si>
  <si>
    <t>&gt;100k assemblies</t>
  </si>
  <si>
    <t>&lt;100K assemblies</t>
  </si>
  <si>
    <t>&lt;1000 assemblies</t>
  </si>
  <si>
    <t>Total Unit Cost</t>
  </si>
  <si>
    <t>Total Unit Price (Wholesale)</t>
  </si>
  <si>
    <t>Total Unit Price (Retail)</t>
  </si>
  <si>
    <t>Average Unit Price</t>
  </si>
  <si>
    <t>Part Number</t>
  </si>
  <si>
    <t>Décor</t>
  </si>
  <si>
    <t>Improvement</t>
  </si>
  <si>
    <t>Channel Innovation</t>
  </si>
  <si>
    <t>Direct-Networked</t>
  </si>
  <si>
    <t>Kid-Focused</t>
  </si>
  <si>
    <t>Solar Specialty</t>
  </si>
  <si>
    <t>Total Direct</t>
  </si>
  <si>
    <t>Total 1-Tier</t>
  </si>
  <si>
    <t>Total 2-Tier</t>
  </si>
  <si>
    <t>Assembly</t>
  </si>
  <si>
    <t>Level 1</t>
  </si>
  <si>
    <t>Level 2</t>
  </si>
  <si>
    <t>QTY</t>
  </si>
  <si>
    <t>Unit Cost</t>
  </si>
  <si>
    <t>Ext Cost</t>
  </si>
  <si>
    <t>Two-Tier Model</t>
  </si>
  <si>
    <t>Production Tooling</t>
  </si>
  <si>
    <t>Panel (60W)</t>
    <phoneticPr fontId="3" type="noConversion"/>
  </si>
  <si>
    <t>Inverter</t>
    <phoneticPr fontId="3" type="noConversion"/>
  </si>
  <si>
    <t>Security Screw</t>
  </si>
  <si>
    <t>Labor - Assembly</t>
  </si>
  <si>
    <t>Subtotal</t>
  </si>
  <si>
    <t xml:space="preserve">60 watt Panel </t>
  </si>
  <si>
    <t>Solar Module</t>
  </si>
  <si>
    <t>Glass</t>
  </si>
  <si>
    <t>EVA</t>
  </si>
  <si>
    <t>Cells</t>
  </si>
  <si>
    <t>Bus Bars</t>
  </si>
  <si>
    <t>Bus Bar</t>
  </si>
  <si>
    <t>Bus</t>
  </si>
  <si>
    <t>EPE</t>
  </si>
  <si>
    <t>Back Sheet</t>
  </si>
  <si>
    <t>Rubber Bumper</t>
  </si>
  <si>
    <t>Revenue</t>
  </si>
  <si>
    <t>Product</t>
  </si>
  <si>
    <t>COGS</t>
  </si>
  <si>
    <t xml:space="preserve">Product Gross Margin </t>
  </si>
  <si>
    <t>Product Gross Margin %</t>
  </si>
</sst>
</file>

<file path=xl/styles.xml><?xml version="1.0" encoding="utf-8"?>
<styleSheet xmlns="http://schemas.openxmlformats.org/spreadsheetml/2006/main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%"/>
    <numFmt numFmtId="166" formatCode="0.00"/>
    <numFmt numFmtId="167" formatCode="_(* #,##0_);_(* \(#,##0\);_(* &quot;-&quot;_);_(@_)"/>
    <numFmt numFmtId="169" formatCode="0.00%"/>
    <numFmt numFmtId="171" formatCode="_(* #,##0_);_(* \(#,##0\);_(* &quot;-&quot;_);_(@_)"/>
    <numFmt numFmtId="174" formatCode="_(&quot;$&quot;* #,##0.0_);_(&quot;$&quot;* \(#,##0.0\);_(&quot;$&quot;* &quot;-&quot;??_);_(@_)"/>
    <numFmt numFmtId="176" formatCode="_(&quot;$&quot;* #,##0_);_(&quot;$&quot;* \(#,##0\);_(&quot;$&quot;* &quot;-&quot;??_);_(@_)"/>
  </numFmts>
  <fonts count="13">
    <font>
      <sz val="10"/>
      <name val="Verdana"/>
    </font>
    <font>
      <sz val="10"/>
      <name val="Verdana"/>
    </font>
    <font>
      <sz val="10"/>
      <name val="Verdana"/>
    </font>
    <font>
      <sz val="8"/>
      <name val="Verdana"/>
    </font>
    <font>
      <sz val="10"/>
      <name val="Arial"/>
    </font>
    <font>
      <sz val="10"/>
      <name val="Helvetica Neue"/>
    </font>
    <font>
      <sz val="10"/>
      <name val="Verdana"/>
    </font>
    <font>
      <sz val="10"/>
      <color indexed="60"/>
      <name val="Arial"/>
    </font>
    <font>
      <sz val="10"/>
      <color indexed="0"/>
      <name val="Arial"/>
    </font>
    <font>
      <u/>
      <sz val="10"/>
      <name val="Arial"/>
    </font>
    <font>
      <u val="singleAccounting"/>
      <sz val="10"/>
      <name val="Arial"/>
    </font>
    <font>
      <u val="doubleAccounting"/>
      <sz val="10"/>
      <name val="Arial"/>
    </font>
    <font>
      <u val="singleAccounting"/>
      <sz val="10"/>
      <name val="Helvetica Neue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left" indent="2"/>
    </xf>
    <xf numFmtId="0" fontId="5" fillId="0" borderId="0" xfId="0" applyNumberFormat="1" applyFont="1" applyFill="1" applyBorder="1" applyAlignment="1">
      <alignment horizontal="left" indent="4"/>
    </xf>
    <xf numFmtId="0" fontId="5" fillId="0" borderId="0" xfId="0" applyFont="1" applyFill="1" applyBorder="1"/>
    <xf numFmtId="0" fontId="2" fillId="0" borderId="0" xfId="0" applyNumberFormat="1" applyFont="1" applyFill="1" applyBorder="1" applyAlignment="1"/>
    <xf numFmtId="0" fontId="2" fillId="0" borderId="0" xfId="0" applyFont="1" applyFill="1" applyBorder="1"/>
    <xf numFmtId="0" fontId="5" fillId="0" borderId="0" xfId="0" applyNumberFormat="1" applyFont="1" applyFill="1" applyBorder="1"/>
    <xf numFmtId="164" fontId="5" fillId="0" borderId="0" xfId="0" applyNumberFormat="1" applyFont="1" applyFill="1" applyBorder="1" applyAlignment="1"/>
    <xf numFmtId="0" fontId="6" fillId="0" borderId="0" xfId="0" applyFont="1" applyFill="1" applyBorder="1"/>
    <xf numFmtId="0" fontId="6" fillId="0" borderId="0" xfId="0" applyNumberFormat="1" applyFont="1" applyFill="1" applyBorder="1" applyAlignment="1"/>
    <xf numFmtId="9" fontId="6" fillId="0" borderId="0" xfId="0" applyNumberFormat="1" applyFont="1" applyFill="1" applyBorder="1" applyAlignment="1"/>
    <xf numFmtId="164" fontId="6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left" indent="2"/>
    </xf>
    <xf numFmtId="167" fontId="4" fillId="0" borderId="0" xfId="0" applyNumberFormat="1" applyFont="1" applyFill="1" applyBorder="1" applyAlignment="1"/>
    <xf numFmtId="167" fontId="7" fillId="0" borderId="0" xfId="0" applyNumberFormat="1" applyFont="1" applyFill="1" applyBorder="1" applyAlignment="1"/>
    <xf numFmtId="167" fontId="4" fillId="0" borderId="0" xfId="0" applyNumberFormat="1" applyFont="1" applyFill="1" applyBorder="1"/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 indent="2"/>
    </xf>
    <xf numFmtId="0" fontId="4" fillId="0" borderId="0" xfId="0" applyNumberFormat="1" applyFont="1" applyFill="1" applyBorder="1" applyAlignment="1">
      <alignment horizontal="left" indent="4"/>
    </xf>
    <xf numFmtId="0" fontId="4" fillId="0" borderId="0" xfId="0" applyNumberFormat="1" applyFont="1" applyFill="1" applyBorder="1"/>
    <xf numFmtId="10" fontId="4" fillId="0" borderId="0" xfId="0" applyNumberFormat="1" applyFont="1" applyFill="1" applyBorder="1" applyAlignment="1"/>
    <xf numFmtId="0" fontId="8" fillId="0" borderId="0" xfId="0" applyNumberFormat="1" applyFont="1" applyFill="1" applyBorder="1" applyAlignment="1"/>
    <xf numFmtId="166" fontId="4" fillId="0" borderId="0" xfId="0" applyNumberFormat="1" applyFont="1" applyFill="1" applyBorder="1" applyAlignment="1"/>
    <xf numFmtId="1" fontId="4" fillId="0" borderId="0" xfId="0" applyNumberFormat="1" applyFont="1" applyFill="1" applyBorder="1" applyAlignment="1"/>
    <xf numFmtId="9" fontId="4" fillId="0" borderId="0" xfId="0" applyNumberFormat="1" applyFont="1" applyFill="1" applyBorder="1" applyAlignment="1"/>
    <xf numFmtId="164" fontId="4" fillId="0" borderId="0" xfId="0" applyNumberFormat="1" applyFont="1" applyFill="1" applyBorder="1" applyAlignment="1"/>
    <xf numFmtId="166" fontId="4" fillId="0" borderId="0" xfId="0" applyNumberFormat="1" applyFont="1" applyFill="1" applyBorder="1"/>
    <xf numFmtId="0" fontId="4" fillId="0" borderId="0" xfId="0" applyFont="1" applyFill="1" applyBorder="1"/>
    <xf numFmtId="1" fontId="4" fillId="0" borderId="0" xfId="0" applyNumberFormat="1" applyFont="1" applyFill="1" applyBorder="1"/>
    <xf numFmtId="2" fontId="4" fillId="0" borderId="0" xfId="0" applyNumberFormat="1" applyFont="1" applyFill="1" applyBorder="1" applyAlignment="1"/>
    <xf numFmtId="0" fontId="4" fillId="0" borderId="0" xfId="0" applyFont="1" applyAlignment="1">
      <alignment horizontal="left" indent="2"/>
    </xf>
    <xf numFmtId="0" fontId="4" fillId="0" borderId="0" xfId="0" applyFont="1" applyAlignment="1"/>
    <xf numFmtId="0" fontId="4" fillId="0" borderId="0" xfId="0" applyFont="1" applyAlignment="1">
      <alignment horizontal="left" indent="4"/>
    </xf>
    <xf numFmtId="0" fontId="4" fillId="0" borderId="0" xfId="0" applyFont="1" applyFill="1" applyBorder="1" applyAlignment="1"/>
    <xf numFmtId="0" fontId="4" fillId="0" borderId="0" xfId="0" applyFont="1" applyAlignment="1">
      <alignment horizontal="left"/>
    </xf>
    <xf numFmtId="0" fontId="4" fillId="0" borderId="0" xfId="0" applyFont="1" applyBorder="1"/>
    <xf numFmtId="0" fontId="4" fillId="0" borderId="0" xfId="0" applyNumberFormat="1" applyFont="1" applyBorder="1" applyAlignment="1"/>
    <xf numFmtId="0" fontId="9" fillId="0" borderId="0" xfId="0" applyNumberFormat="1" applyFont="1"/>
    <xf numFmtId="0" fontId="10" fillId="0" borderId="0" xfId="0" applyFont="1"/>
    <xf numFmtId="0" fontId="9" fillId="0" borderId="0" xfId="0" applyFont="1"/>
    <xf numFmtId="0" fontId="11" fillId="0" borderId="0" xfId="0" applyFont="1"/>
    <xf numFmtId="169" fontId="4" fillId="0" borderId="0" xfId="0" applyNumberFormat="1" applyFont="1"/>
    <xf numFmtId="169" fontId="4" fillId="0" borderId="0" xfId="0" applyNumberFormat="1" applyFont="1" applyFill="1" applyBorder="1" applyAlignment="1"/>
    <xf numFmtId="171" fontId="4" fillId="0" borderId="0" xfId="0" applyNumberFormat="1" applyFont="1"/>
    <xf numFmtId="171" fontId="4" fillId="0" borderId="0" xfId="0" applyNumberFormat="1" applyFont="1" applyFill="1" applyBorder="1" applyAlignment="1"/>
    <xf numFmtId="4" fontId="4" fillId="0" borderId="0" xfId="0" applyNumberFormat="1" applyFont="1"/>
    <xf numFmtId="4" fontId="4" fillId="0" borderId="0" xfId="0" applyNumberFormat="1" applyFont="1" applyFill="1" applyBorder="1" applyAlignment="1"/>
    <xf numFmtId="176" fontId="10" fillId="0" borderId="0" xfId="1" applyNumberFormat="1" applyFont="1"/>
    <xf numFmtId="176" fontId="10" fillId="0" borderId="0" xfId="1" applyNumberFormat="1" applyFont="1" applyFill="1" applyBorder="1" applyAlignment="1"/>
    <xf numFmtId="171" fontId="4" fillId="0" borderId="0" xfId="1" applyNumberFormat="1" applyFont="1"/>
    <xf numFmtId="176" fontId="11" fillId="0" borderId="0" xfId="1" applyNumberFormat="1" applyFont="1"/>
    <xf numFmtId="176" fontId="12" fillId="0" borderId="0" xfId="1" applyNumberFormat="1" applyFont="1" applyFill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4" Type="http://schemas.openxmlformats.org/officeDocument/2006/relationships/worksheet" Target="worksheets/sheet4.xml"/><Relationship Id="rId1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7" Type="http://schemas.openxmlformats.org/officeDocument/2006/relationships/worksheet" Target="worksheets/sheet7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9" Type="http://schemas.openxmlformats.org/officeDocument/2006/relationships/styles" Target="styles.xml"/><Relationship Id="rId3" Type="http://schemas.openxmlformats.org/officeDocument/2006/relationships/worksheet" Target="worksheets/sheet3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O51"/>
  <sheetViews>
    <sheetView tabSelected="1" zoomScale="125" workbookViewId="0">
      <pane xSplit="1" topLeftCell="I1" activePane="topRight" state="frozen"/>
      <selection pane="topRight" sqref="A1:A2"/>
    </sheetView>
  </sheetViews>
  <sheetFormatPr baseColWidth="10" defaultRowHeight="13"/>
  <cols>
    <col min="1" max="1" width="23.28515625" bestFit="1" customWidth="1"/>
    <col min="7" max="11" width="10.85546875" bestFit="1" customWidth="1"/>
    <col min="12" max="12" width="11.28515625" bestFit="1" customWidth="1"/>
    <col min="13" max="14" width="12" bestFit="1" customWidth="1"/>
    <col min="15" max="15" width="12.85546875" bestFit="1" customWidth="1"/>
  </cols>
  <sheetData>
    <row r="1" spans="1:15">
      <c r="A1" s="42" t="s">
        <v>64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42" t="s">
        <v>65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1"/>
      <c r="B3" s="1"/>
      <c r="C3" s="40" t="s">
        <v>56</v>
      </c>
      <c r="D3" s="40" t="s">
        <v>57</v>
      </c>
      <c r="E3" s="40" t="s">
        <v>58</v>
      </c>
      <c r="F3" s="40" t="s">
        <v>59</v>
      </c>
      <c r="G3" s="40">
        <v>2009</v>
      </c>
      <c r="H3" s="40" t="s">
        <v>60</v>
      </c>
      <c r="I3" s="40" t="s">
        <v>61</v>
      </c>
      <c r="J3" s="40" t="s">
        <v>62</v>
      </c>
      <c r="K3" s="40" t="s">
        <v>63</v>
      </c>
      <c r="L3" s="40">
        <v>2010</v>
      </c>
      <c r="M3" s="40">
        <v>2011</v>
      </c>
      <c r="N3" s="40">
        <v>2012</v>
      </c>
      <c r="O3" s="40">
        <v>2013</v>
      </c>
    </row>
    <row r="4" spans="1:15">
      <c r="A4" s="1" t="s">
        <v>299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>
      <c r="A5" s="35" t="s">
        <v>51</v>
      </c>
      <c r="B5" s="1"/>
      <c r="C5" s="46"/>
      <c r="D5" s="46"/>
      <c r="E5" s="46"/>
      <c r="F5" s="46"/>
      <c r="G5" s="46">
        <f>Revenue!G16</f>
        <v>212162.17330308002</v>
      </c>
      <c r="H5" s="46">
        <f>Revenue!H16</f>
        <v>0</v>
      </c>
      <c r="I5" s="46">
        <f>Revenue!I16</f>
        <v>0</v>
      </c>
      <c r="J5" s="46">
        <f>Revenue!J16</f>
        <v>0</v>
      </c>
      <c r="K5" s="46">
        <f>Revenue!K16</f>
        <v>0</v>
      </c>
      <c r="L5" s="46">
        <f>Revenue!L16</f>
        <v>2950054.009302401</v>
      </c>
      <c r="M5" s="46">
        <f>Revenue!M16</f>
        <v>15558436.926032001</v>
      </c>
      <c r="N5" s="46">
        <f>Revenue!N16</f>
        <v>46917760.841952011</v>
      </c>
      <c r="O5" s="46">
        <f>Revenue!O16</f>
        <v>156796619.57960004</v>
      </c>
    </row>
    <row r="6" spans="1:15">
      <c r="A6" s="35" t="s">
        <v>165</v>
      </c>
      <c r="B6" s="1"/>
      <c r="C6" s="46"/>
      <c r="D6" s="46"/>
      <c r="E6" s="46"/>
      <c r="F6" s="47"/>
      <c r="G6" s="46">
        <f>Revenue!G22</f>
        <v>54896.6796378</v>
      </c>
      <c r="H6" s="46">
        <f>Revenue!H22</f>
        <v>0</v>
      </c>
      <c r="I6" s="46">
        <f>Revenue!I22</f>
        <v>0</v>
      </c>
      <c r="J6" s="46">
        <f>Revenue!J22</f>
        <v>0</v>
      </c>
      <c r="K6" s="46">
        <f>Revenue!K22</f>
        <v>0</v>
      </c>
      <c r="L6" s="46">
        <f>Revenue!L22</f>
        <v>381661.27199200005</v>
      </c>
      <c r="M6" s="46">
        <f>Revenue!M22</f>
        <v>2012862.4115599999</v>
      </c>
      <c r="N6" s="46">
        <f>Revenue!N22</f>
        <v>6069954.0501600001</v>
      </c>
      <c r="O6" s="46">
        <f>Revenue!O22</f>
        <v>20285458.193000004</v>
      </c>
    </row>
    <row r="7" spans="1:15">
      <c r="A7" s="1" t="s">
        <v>164</v>
      </c>
      <c r="B7" s="1"/>
      <c r="C7" s="46"/>
      <c r="D7" s="46"/>
      <c r="E7" s="46"/>
      <c r="F7" s="47"/>
      <c r="G7" s="46">
        <f>Revenue!G24</f>
        <v>267058.85294088</v>
      </c>
      <c r="H7" s="46">
        <f>Revenue!H24</f>
        <v>0</v>
      </c>
      <c r="I7" s="46">
        <f>Revenue!I24</f>
        <v>0</v>
      </c>
      <c r="J7" s="46">
        <f>Revenue!J24</f>
        <v>0</v>
      </c>
      <c r="K7" s="46">
        <f>Revenue!K24</f>
        <v>0</v>
      </c>
      <c r="L7" s="46">
        <f>Revenue!L24</f>
        <v>3331715.2812944008</v>
      </c>
      <c r="M7" s="46">
        <f>Revenue!M24</f>
        <v>17571299.337592002</v>
      </c>
      <c r="N7" s="46">
        <f>Revenue!N24</f>
        <v>52987714.892112009</v>
      </c>
      <c r="O7" s="46">
        <f>Revenue!O24</f>
        <v>177082077.77260005</v>
      </c>
    </row>
    <row r="8" spans="1:15">
      <c r="A8" s="1" t="s">
        <v>301</v>
      </c>
      <c r="B8" s="1"/>
      <c r="C8" s="46"/>
      <c r="D8" s="46"/>
      <c r="E8" s="46"/>
      <c r="F8" s="47"/>
      <c r="G8" s="46">
        <f>(Revenue!G9*COGS!$B$14)+(Revenue!G10*COGS!$B$31)</f>
        <v>165142.69200000004</v>
      </c>
      <c r="H8" s="46">
        <f>(Revenue!H9*COGS!$B$14)+(Revenue!H10*COGS!$B$31)</f>
        <v>0</v>
      </c>
      <c r="I8" s="46">
        <f>(Revenue!I9*COGS!$B$14)+(Revenue!I10*COGS!$B$31)</f>
        <v>0</v>
      </c>
      <c r="J8" s="46">
        <f>(Revenue!J9*COGS!$B$14)+(Revenue!J10*COGS!$B$31)</f>
        <v>0</v>
      </c>
      <c r="K8" s="46">
        <f>(Revenue!K9*COGS!$B$14)+(Revenue!K10*COGS!$B$31)</f>
        <v>0</v>
      </c>
      <c r="L8" s="46">
        <f>(Revenue!L9*COGS!$B$14)+(Revenue!L10*COGS!$B$31)</f>
        <v>1975590.7600000002</v>
      </c>
      <c r="M8" s="46">
        <f>(Revenue!M9*COGS!$B$14)+(Revenue!M10*COGS!$B$31)</f>
        <v>9877953.8000000007</v>
      </c>
      <c r="N8" s="46">
        <f>(Revenue!N9*COGS!$B$14)+(Revenue!N10*COGS!$B$31)</f>
        <v>29633861.400000002</v>
      </c>
      <c r="O8" s="46">
        <f>(Revenue!O9*COGS!$B$14)+(Revenue!O10*COGS!$B$31)</f>
        <v>98779538</v>
      </c>
    </row>
    <row r="9" spans="1:15">
      <c r="A9" s="1" t="s">
        <v>302</v>
      </c>
      <c r="B9" s="1"/>
      <c r="C9" s="46"/>
      <c r="D9" s="46"/>
      <c r="E9" s="46"/>
      <c r="F9" s="47"/>
      <c r="G9" s="46">
        <f>G7-G8</f>
        <v>101916.16094087996</v>
      </c>
      <c r="H9" s="46">
        <f t="shared" ref="H9:O9" si="0">H7-H8</f>
        <v>0</v>
      </c>
      <c r="I9" s="46">
        <f t="shared" si="0"/>
        <v>0</v>
      </c>
      <c r="J9" s="46">
        <f t="shared" si="0"/>
        <v>0</v>
      </c>
      <c r="K9" s="46">
        <f t="shared" si="0"/>
        <v>0</v>
      </c>
      <c r="L9" s="46">
        <f t="shared" si="0"/>
        <v>1356124.5212944006</v>
      </c>
      <c r="M9" s="46">
        <f t="shared" si="0"/>
        <v>7693345.5375920013</v>
      </c>
      <c r="N9" s="46">
        <f t="shared" si="0"/>
        <v>23353853.492112007</v>
      </c>
      <c r="O9" s="46">
        <f t="shared" si="0"/>
        <v>78302539.772600055</v>
      </c>
    </row>
    <row r="10" spans="1:15">
      <c r="A10" s="1" t="s">
        <v>303</v>
      </c>
      <c r="B10" s="1"/>
      <c r="C10" s="44"/>
      <c r="D10" s="44"/>
      <c r="E10" s="44"/>
      <c r="F10" s="45"/>
      <c r="G10" s="44">
        <f>G9/G7</f>
        <v>0.38162434915962734</v>
      </c>
      <c r="H10" s="44" t="e">
        <f t="shared" ref="H10:O10" si="1">H9/H7</f>
        <v>#DIV/0!</v>
      </c>
      <c r="I10" s="44" t="e">
        <f t="shared" si="1"/>
        <v>#DIV/0!</v>
      </c>
      <c r="J10" s="44" t="e">
        <f t="shared" si="1"/>
        <v>#DIV/0!</v>
      </c>
      <c r="K10" s="44" t="e">
        <f t="shared" si="1"/>
        <v>#DIV/0!</v>
      </c>
      <c r="L10" s="44">
        <f t="shared" si="1"/>
        <v>0.40703493750148251</v>
      </c>
      <c r="M10" s="44">
        <f t="shared" si="1"/>
        <v>0.4378358930539003</v>
      </c>
      <c r="N10" s="44">
        <f t="shared" si="1"/>
        <v>0.44074090644713887</v>
      </c>
      <c r="O10" s="44">
        <f t="shared" si="1"/>
        <v>0.44218218329893472</v>
      </c>
    </row>
    <row r="11" spans="1:15">
      <c r="A11" s="1"/>
      <c r="B11" s="1"/>
      <c r="C11" s="1"/>
      <c r="D11" s="1"/>
      <c r="E11" s="1"/>
      <c r="F11" s="19"/>
      <c r="G11" s="1"/>
      <c r="H11" s="1"/>
      <c r="I11" s="1"/>
      <c r="J11" s="1"/>
      <c r="K11" s="1"/>
      <c r="L11" s="1"/>
      <c r="M11" s="1"/>
      <c r="N11" s="1"/>
      <c r="O11" s="1"/>
    </row>
    <row r="12" spans="1:15">
      <c r="A12" s="1" t="s">
        <v>52</v>
      </c>
      <c r="B12" s="1"/>
      <c r="C12" s="48"/>
      <c r="D12" s="48"/>
      <c r="E12" s="48"/>
      <c r="F12" s="49"/>
      <c r="G12" s="48">
        <v>122000</v>
      </c>
      <c r="H12" s="48"/>
      <c r="I12" s="48"/>
      <c r="J12" s="48"/>
      <c r="K12" s="48"/>
      <c r="L12" s="48"/>
      <c r="M12" s="48"/>
      <c r="N12" s="48"/>
      <c r="O12" s="48"/>
    </row>
    <row r="13" spans="1:15">
      <c r="A13" s="1"/>
      <c r="B13" s="1"/>
      <c r="C13" s="1"/>
      <c r="D13" s="1"/>
      <c r="E13" s="1"/>
      <c r="F13" s="19"/>
      <c r="G13" s="1"/>
      <c r="H13" s="1"/>
      <c r="I13" s="1"/>
      <c r="J13" s="1"/>
      <c r="K13" s="1"/>
      <c r="L13" s="1"/>
      <c r="M13" s="1"/>
      <c r="N13" s="1"/>
      <c r="O13" s="1"/>
    </row>
    <row r="14" spans="1:15" ht="16">
      <c r="A14" s="1" t="s">
        <v>53</v>
      </c>
      <c r="B14" s="41"/>
      <c r="C14" s="50"/>
      <c r="D14" s="50"/>
      <c r="E14" s="50"/>
      <c r="F14" s="51"/>
      <c r="G14" s="50">
        <f>G12+G9</f>
        <v>223916.16094087996</v>
      </c>
      <c r="H14" s="50"/>
      <c r="I14" s="50"/>
      <c r="J14" s="50"/>
      <c r="K14" s="50"/>
      <c r="L14" s="50">
        <f>L12+L9</f>
        <v>1356124.5212944006</v>
      </c>
      <c r="M14" s="50">
        <f t="shared" ref="M14:O14" si="2">M12+M9</f>
        <v>7693345.5375920013</v>
      </c>
      <c r="N14" s="50">
        <f t="shared" si="2"/>
        <v>23353853.492112007</v>
      </c>
      <c r="O14" s="50">
        <f t="shared" si="2"/>
        <v>78302539.772600055</v>
      </c>
    </row>
    <row r="15" spans="1:15">
      <c r="A15" s="1"/>
      <c r="B15" s="1"/>
      <c r="C15" s="1"/>
      <c r="D15" s="1"/>
      <c r="E15" s="1"/>
      <c r="F15" s="19"/>
      <c r="G15" s="1"/>
      <c r="H15" s="1"/>
      <c r="I15" s="1"/>
      <c r="J15" s="1"/>
      <c r="K15" s="1"/>
      <c r="L15" s="1"/>
      <c r="M15" s="1"/>
      <c r="N15" s="1"/>
      <c r="O15" s="1"/>
    </row>
    <row r="16" spans="1:15">
      <c r="A16" s="1" t="s">
        <v>163</v>
      </c>
      <c r="B16" s="1"/>
      <c r="C16" s="1"/>
      <c r="D16" s="1"/>
      <c r="E16" s="1"/>
      <c r="F16" s="19"/>
      <c r="G16" s="1"/>
      <c r="H16" s="1"/>
      <c r="I16" s="1"/>
      <c r="J16" s="1"/>
      <c r="K16" s="1"/>
      <c r="L16" s="1"/>
      <c r="M16" s="1"/>
      <c r="N16" s="1"/>
      <c r="O16" s="1"/>
    </row>
    <row r="17" spans="1:15">
      <c r="A17" s="21" t="s">
        <v>166</v>
      </c>
      <c r="B17" s="1"/>
      <c r="C17" s="1"/>
      <c r="D17" s="1"/>
      <c r="E17" s="1"/>
      <c r="F17" s="19"/>
      <c r="G17" s="1">
        <f>Expenses!G11</f>
        <v>11575</v>
      </c>
      <c r="H17" s="1">
        <f>Expenses!H11</f>
        <v>0</v>
      </c>
      <c r="I17" s="1">
        <f>Expenses!I11</f>
        <v>0</v>
      </c>
      <c r="J17" s="1">
        <f>Expenses!J11</f>
        <v>0</v>
      </c>
      <c r="K17" s="1">
        <f>Expenses!K11</f>
        <v>0</v>
      </c>
      <c r="L17" s="1">
        <f>Expenses!L11</f>
        <v>0</v>
      </c>
      <c r="M17" s="1">
        <f>Expenses!M11</f>
        <v>0</v>
      </c>
      <c r="N17" s="1">
        <f>Expenses!O11</f>
        <v>0</v>
      </c>
      <c r="O17" s="1">
        <f>Expenses!Q11</f>
        <v>0</v>
      </c>
    </row>
    <row r="18" spans="1:15">
      <c r="A18" s="21" t="s">
        <v>167</v>
      </c>
      <c r="B18" s="1"/>
      <c r="C18" s="1"/>
      <c r="D18" s="1"/>
      <c r="E18" s="1"/>
      <c r="F18" s="19"/>
      <c r="G18" s="1">
        <f>Expenses!G39</f>
        <v>12152</v>
      </c>
      <c r="H18" s="1">
        <f>Expenses!H39</f>
        <v>0</v>
      </c>
      <c r="I18" s="1">
        <f>Expenses!I39</f>
        <v>0</v>
      </c>
      <c r="J18" s="1">
        <f>Expenses!J39</f>
        <v>0</v>
      </c>
      <c r="K18" s="1">
        <f>Expenses!K39</f>
        <v>0</v>
      </c>
      <c r="L18" s="1">
        <f>Expenses!L39</f>
        <v>50736</v>
      </c>
      <c r="M18" s="1">
        <f>Expenses!M39</f>
        <v>69622</v>
      </c>
      <c r="N18" s="1">
        <f>Expenses!O39</f>
        <v>155582</v>
      </c>
      <c r="O18" s="1">
        <f>Expenses!Q39</f>
        <v>168752</v>
      </c>
    </row>
    <row r="19" spans="1:15">
      <c r="A19" s="21" t="s">
        <v>168</v>
      </c>
      <c r="B19" s="1"/>
      <c r="C19" s="1"/>
      <c r="D19" s="1"/>
      <c r="E19" s="1"/>
      <c r="F19" s="19"/>
      <c r="G19" s="1">
        <f>Expenses!G55</f>
        <v>97967</v>
      </c>
      <c r="H19" s="1">
        <f>Expenses!H55</f>
        <v>0</v>
      </c>
      <c r="I19" s="1">
        <f>Expenses!I55</f>
        <v>0</v>
      </c>
      <c r="J19" s="1">
        <f>Expenses!J55</f>
        <v>0</v>
      </c>
      <c r="K19" s="1">
        <f>Expenses!K55</f>
        <v>0</v>
      </c>
      <c r="L19" s="1">
        <f>Expenses!L55</f>
        <v>62261</v>
      </c>
      <c r="M19" s="1">
        <f>Expenses!M55</f>
        <v>135436</v>
      </c>
      <c r="N19" s="1">
        <f>Expenses!O55</f>
        <v>134692</v>
      </c>
      <c r="O19" s="1">
        <f>Expenses!Q55</f>
        <v>115900</v>
      </c>
    </row>
    <row r="20" spans="1:15">
      <c r="A20" s="21" t="s">
        <v>169</v>
      </c>
      <c r="B20" s="1"/>
      <c r="C20" s="1"/>
      <c r="D20" s="1"/>
      <c r="E20" s="1"/>
      <c r="F20" s="19"/>
      <c r="G20" s="1">
        <f>Expenses!G62</f>
        <v>3000</v>
      </c>
      <c r="H20" s="1">
        <f>Expenses!H62</f>
        <v>0</v>
      </c>
      <c r="I20" s="1">
        <f>Expenses!I62</f>
        <v>0</v>
      </c>
      <c r="J20" s="1">
        <f>Expenses!J62</f>
        <v>0</v>
      </c>
      <c r="K20" s="1">
        <f>Expenses!K62</f>
        <v>0</v>
      </c>
      <c r="L20" s="1">
        <f>Expenses!L62</f>
        <v>0</v>
      </c>
      <c r="M20" s="1">
        <f>Expenses!M62</f>
        <v>0</v>
      </c>
      <c r="N20" s="1">
        <f>Expenses!O62</f>
        <v>185000</v>
      </c>
      <c r="O20" s="1">
        <f>Expenses!Q62</f>
        <v>0</v>
      </c>
    </row>
    <row r="21" spans="1:15">
      <c r="A21" s="21" t="s">
        <v>170</v>
      </c>
      <c r="B21" s="1"/>
      <c r="C21" s="1"/>
      <c r="D21" s="1"/>
      <c r="E21" s="1"/>
      <c r="F21" s="19"/>
      <c r="G21" s="1">
        <f>Expenses!G70</f>
        <v>7800</v>
      </c>
      <c r="H21" s="1">
        <f>Expenses!H70</f>
        <v>0</v>
      </c>
      <c r="I21" s="1">
        <f>Expenses!I70</f>
        <v>0</v>
      </c>
      <c r="J21" s="1">
        <f>Expenses!J70</f>
        <v>0</v>
      </c>
      <c r="K21" s="1">
        <f>Expenses!K70</f>
        <v>0</v>
      </c>
      <c r="L21" s="1">
        <f>Expenses!L70</f>
        <v>32100</v>
      </c>
      <c r="M21" s="1">
        <f>Expenses!M70</f>
        <v>32100</v>
      </c>
      <c r="N21" s="1">
        <f>Expenses!O70</f>
        <v>32100</v>
      </c>
      <c r="O21" s="1">
        <f>Expenses!Q70</f>
        <v>32100</v>
      </c>
    </row>
    <row r="22" spans="1:15">
      <c r="A22" s="21" t="s">
        <v>171</v>
      </c>
      <c r="B22" s="1"/>
      <c r="C22" s="1"/>
      <c r="D22" s="1"/>
      <c r="E22" s="1"/>
      <c r="F22" s="19"/>
      <c r="G22" s="1">
        <f>Expenses!G93</f>
        <v>9687</v>
      </c>
      <c r="H22" s="1">
        <f>Expenses!H93</f>
        <v>0</v>
      </c>
      <c r="I22" s="1">
        <f>Expenses!I93</f>
        <v>0</v>
      </c>
      <c r="J22" s="1">
        <f>Expenses!J93</f>
        <v>0</v>
      </c>
      <c r="K22" s="1">
        <f>Expenses!K93</f>
        <v>0</v>
      </c>
      <c r="L22" s="1">
        <f>Expenses!L93</f>
        <v>15279</v>
      </c>
      <c r="M22" s="1">
        <f>Expenses!M93</f>
        <v>22983</v>
      </c>
      <c r="N22" s="1">
        <f>Expenses!O93</f>
        <v>23158</v>
      </c>
      <c r="O22" s="1">
        <f>Expenses!Q93</f>
        <v>38733</v>
      </c>
    </row>
    <row r="23" spans="1:15">
      <c r="A23" s="21" t="s">
        <v>172</v>
      </c>
      <c r="B23" s="1"/>
      <c r="C23" s="1"/>
      <c r="D23" s="1"/>
      <c r="E23" s="1"/>
      <c r="F23" s="19"/>
      <c r="G23" s="1">
        <f>Expenses!G99</f>
        <v>6000</v>
      </c>
      <c r="H23" s="1">
        <f>Expenses!H99</f>
        <v>0</v>
      </c>
      <c r="I23" s="1">
        <f>Expenses!I99</f>
        <v>0</v>
      </c>
      <c r="J23" s="1">
        <f>Expenses!J99</f>
        <v>0</v>
      </c>
      <c r="K23" s="1">
        <f>Expenses!K99</f>
        <v>0</v>
      </c>
      <c r="L23" s="1">
        <f>Expenses!L99</f>
        <v>7000</v>
      </c>
      <c r="M23" s="1">
        <f>Expenses!M99</f>
        <v>26000</v>
      </c>
      <c r="N23" s="1">
        <f>Expenses!O99</f>
        <v>66000</v>
      </c>
      <c r="O23" s="1">
        <f>Expenses!Q99</f>
        <v>724000</v>
      </c>
    </row>
    <row r="24" spans="1:15">
      <c r="A24" s="21" t="s">
        <v>173</v>
      </c>
      <c r="B24" s="1"/>
      <c r="C24" s="1"/>
      <c r="D24" s="1"/>
      <c r="E24" s="1"/>
      <c r="F24" s="19"/>
      <c r="G24" s="1">
        <f>Expenses!G105</f>
        <v>105000</v>
      </c>
      <c r="H24" s="1">
        <f>Expenses!H105</f>
        <v>0</v>
      </c>
      <c r="I24" s="1">
        <f>Expenses!I105</f>
        <v>0</v>
      </c>
      <c r="J24" s="1">
        <f>Expenses!J105</f>
        <v>0</v>
      </c>
      <c r="K24" s="1">
        <f>Expenses!K105</f>
        <v>0</v>
      </c>
      <c r="L24" s="1">
        <f>Expenses!L105</f>
        <v>120000</v>
      </c>
      <c r="M24" s="1">
        <f>Expenses!M105</f>
        <v>50000</v>
      </c>
      <c r="N24" s="1">
        <f>Expenses!O105</f>
        <v>19000</v>
      </c>
      <c r="O24" s="1">
        <f>Expenses!Q105</f>
        <v>0</v>
      </c>
    </row>
    <row r="25" spans="1:15">
      <c r="A25" s="21" t="s">
        <v>174</v>
      </c>
      <c r="B25" s="1"/>
      <c r="C25" s="1"/>
      <c r="D25" s="1"/>
      <c r="E25" s="1"/>
      <c r="F25" s="19"/>
      <c r="G25" s="1">
        <f>Expenses!G122</f>
        <v>160000</v>
      </c>
      <c r="H25" s="1">
        <f>Expenses!H122</f>
        <v>0</v>
      </c>
      <c r="I25" s="1">
        <f>Expenses!I122</f>
        <v>0</v>
      </c>
      <c r="J25" s="1">
        <f>Expenses!J122</f>
        <v>0</v>
      </c>
      <c r="K25" s="1">
        <f>Expenses!K122</f>
        <v>0</v>
      </c>
      <c r="L25" s="1">
        <f>Expenses!L122</f>
        <v>1144510.1428431999</v>
      </c>
      <c r="M25" s="1">
        <f>Expenses!M122</f>
        <v>2051892.4435759999</v>
      </c>
      <c r="N25" s="1">
        <f>Expenses!O122</f>
        <v>4251379.8495359998</v>
      </c>
      <c r="O25" s="1">
        <f>Expenses!Q122</f>
        <v>4052304.0898639997</v>
      </c>
    </row>
    <row r="26" spans="1:15">
      <c r="A26" s="21" t="s">
        <v>175</v>
      </c>
      <c r="B26" s="1"/>
      <c r="C26" s="1"/>
      <c r="D26" s="1"/>
      <c r="E26" s="1"/>
      <c r="F26" s="19"/>
      <c r="G26" s="1">
        <f>Expenses!G140</f>
        <v>34920</v>
      </c>
      <c r="H26" s="1">
        <f>Expenses!H140</f>
        <v>0</v>
      </c>
      <c r="I26" s="1">
        <f>Expenses!I140</f>
        <v>0</v>
      </c>
      <c r="J26" s="1">
        <f>Expenses!J140</f>
        <v>0</v>
      </c>
      <c r="K26" s="1">
        <f>Expenses!K140</f>
        <v>0</v>
      </c>
      <c r="L26" s="1">
        <f>Expenses!L140</f>
        <v>244565.02592750482</v>
      </c>
      <c r="M26" s="1">
        <f>Expenses!M140</f>
        <v>430944.77193356398</v>
      </c>
      <c r="N26" s="1">
        <f>Expenses!O140</f>
        <v>960788.05848950392</v>
      </c>
      <c r="O26" s="1">
        <f>Expenses!Q140</f>
        <v>1681262.2628745958</v>
      </c>
    </row>
    <row r="27" spans="1:15">
      <c r="A27" s="1"/>
      <c r="B27" s="1"/>
      <c r="C27" s="1"/>
      <c r="D27" s="1"/>
      <c r="E27" s="1"/>
      <c r="F27" s="19"/>
      <c r="G27" s="1"/>
      <c r="H27" s="1"/>
      <c r="I27" s="1"/>
      <c r="J27" s="1"/>
      <c r="K27" s="1"/>
      <c r="L27" s="1"/>
      <c r="M27" s="1"/>
      <c r="N27" s="1"/>
      <c r="O27" s="1"/>
    </row>
    <row r="28" spans="1:15" ht="16">
      <c r="A28" s="1" t="s">
        <v>13</v>
      </c>
      <c r="B28" s="41"/>
      <c r="C28" s="50"/>
      <c r="D28" s="50"/>
      <c r="E28" s="50"/>
      <c r="F28" s="51"/>
      <c r="G28" s="50">
        <f>Expenses!G142</f>
        <v>448101</v>
      </c>
      <c r="H28" s="50">
        <f>Expenses!H142</f>
        <v>0</v>
      </c>
      <c r="I28" s="50">
        <f>Expenses!I142</f>
        <v>0</v>
      </c>
      <c r="J28" s="50">
        <f>Expenses!J142</f>
        <v>0</v>
      </c>
      <c r="K28" s="50">
        <f>Expenses!K142</f>
        <v>0</v>
      </c>
      <c r="L28" s="50">
        <f>Expenses!L142</f>
        <v>1676451.1687707047</v>
      </c>
      <c r="M28" s="50">
        <f>Expenses!M142</f>
        <v>2818978.2155095637</v>
      </c>
      <c r="N28" s="50">
        <f>Expenses!O142</f>
        <v>5827699.9080255041</v>
      </c>
      <c r="O28" s="50">
        <f>Expenses!Q142</f>
        <v>6813051.3527385956</v>
      </c>
    </row>
    <row r="29" spans="1:15">
      <c r="A29" s="1"/>
      <c r="B29" s="1"/>
      <c r="C29" s="1"/>
      <c r="D29" s="1"/>
      <c r="E29" s="1"/>
      <c r="F29" s="19"/>
      <c r="G29" s="1"/>
      <c r="H29" s="1"/>
      <c r="I29" s="1"/>
      <c r="J29" s="1"/>
      <c r="K29" s="1"/>
      <c r="L29" s="1"/>
      <c r="M29" s="1"/>
      <c r="N29" s="1"/>
      <c r="O29" s="1"/>
    </row>
    <row r="30" spans="1:15" ht="16">
      <c r="A30" s="1" t="s">
        <v>54</v>
      </c>
      <c r="B30" s="41"/>
      <c r="C30" s="50"/>
      <c r="D30" s="50"/>
      <c r="E30" s="50"/>
      <c r="F30" s="51"/>
      <c r="G30" s="50">
        <f>G14-G28</f>
        <v>-224184.83905912004</v>
      </c>
      <c r="H30" s="50">
        <f t="shared" ref="H30:O30" si="3">H14-H28</f>
        <v>0</v>
      </c>
      <c r="I30" s="50">
        <f t="shared" si="3"/>
        <v>0</v>
      </c>
      <c r="J30" s="50">
        <f t="shared" si="3"/>
        <v>0</v>
      </c>
      <c r="K30" s="50">
        <f t="shared" si="3"/>
        <v>0</v>
      </c>
      <c r="L30" s="50">
        <f t="shared" si="3"/>
        <v>-320326.64747630409</v>
      </c>
      <c r="M30" s="50">
        <f t="shared" si="3"/>
        <v>4874367.3220824376</v>
      </c>
      <c r="N30" s="50">
        <f t="shared" si="3"/>
        <v>17526153.584086504</v>
      </c>
      <c r="O30" s="50">
        <f t="shared" si="3"/>
        <v>71489488.419861466</v>
      </c>
    </row>
    <row r="31" spans="1:15">
      <c r="A31" s="1"/>
      <c r="B31" s="1"/>
      <c r="C31" s="1"/>
      <c r="D31" s="1"/>
      <c r="E31" s="1"/>
      <c r="F31" s="19"/>
      <c r="G31" s="1"/>
      <c r="H31" s="1"/>
      <c r="I31" s="1"/>
      <c r="J31" s="1"/>
      <c r="K31" s="1"/>
      <c r="L31" s="1"/>
      <c r="M31" s="1"/>
      <c r="N31" s="1"/>
      <c r="O31" s="1"/>
    </row>
    <row r="32" spans="1:15">
      <c r="A32" s="38"/>
      <c r="B32" s="1"/>
      <c r="C32" s="1"/>
      <c r="D32" s="1"/>
      <c r="E32" s="1"/>
      <c r="F32" s="19"/>
      <c r="G32" s="1"/>
      <c r="H32" s="1"/>
      <c r="I32" s="1"/>
      <c r="J32" s="1"/>
      <c r="K32" s="1"/>
      <c r="L32" s="1"/>
      <c r="M32" s="1"/>
      <c r="N32" s="1"/>
      <c r="O32" s="1"/>
    </row>
    <row r="33" spans="1:15">
      <c r="A33" s="39" t="s">
        <v>158</v>
      </c>
      <c r="B33" s="1"/>
      <c r="C33" s="1"/>
      <c r="D33" s="1"/>
      <c r="E33" s="1"/>
      <c r="F33" s="19"/>
      <c r="G33" s="52">
        <v>0</v>
      </c>
      <c r="H33" s="52"/>
      <c r="I33" s="52"/>
      <c r="J33" s="52"/>
      <c r="K33" s="52"/>
      <c r="L33" s="52">
        <f>G36</f>
        <v>-220682.03905912006</v>
      </c>
      <c r="M33" s="52">
        <f>L39</f>
        <v>-532485.88653542404</v>
      </c>
      <c r="N33" s="52">
        <v>0</v>
      </c>
      <c r="O33" s="52">
        <v>0</v>
      </c>
    </row>
    <row r="34" spans="1:15">
      <c r="A34" s="39" t="s">
        <v>159</v>
      </c>
      <c r="B34" s="1"/>
      <c r="C34" s="1"/>
      <c r="D34" s="1"/>
      <c r="E34" s="1"/>
      <c r="F34" s="19"/>
      <c r="G34" s="52">
        <f>(Expenses!G143/5)</f>
        <v>3502.8</v>
      </c>
      <c r="H34" s="52"/>
      <c r="I34" s="52"/>
      <c r="J34" s="52"/>
      <c r="K34" s="52"/>
      <c r="L34" s="52">
        <f>(Expenses!G143/5)+(Expenses!L143/5)</f>
        <v>8522.7999999999993</v>
      </c>
      <c r="M34" s="52">
        <f>(Expenses!G143/5)+(Expenses!L143/5)+(Expenses!M143/5)</f>
        <v>16732.8</v>
      </c>
      <c r="N34" s="52">
        <f>(Expenses!G143/5)+(Expenses!L143/5)+(Expenses!M143/5)+(Expenses!O143/5)</f>
        <v>69314.8</v>
      </c>
      <c r="O34" s="52">
        <f>(Expenses!G143/5)+(Expenses!L143/5)+(Expenses!M143/5)+(Expenses!O143/5)+(Expenses!Q143/5)</f>
        <v>87064.8</v>
      </c>
    </row>
    <row r="35" spans="1:15">
      <c r="A35" s="39" t="s">
        <v>160</v>
      </c>
      <c r="B35" s="1"/>
      <c r="C35" s="1"/>
      <c r="D35" s="1"/>
      <c r="E35" s="1"/>
      <c r="F35" s="19"/>
      <c r="G35" s="52">
        <v>0</v>
      </c>
      <c r="H35" s="52"/>
      <c r="I35" s="52"/>
      <c r="J35" s="52"/>
      <c r="K35" s="52"/>
      <c r="L35" s="52">
        <v>0</v>
      </c>
      <c r="M35" s="52">
        <v>0</v>
      </c>
      <c r="N35" s="52">
        <v>0</v>
      </c>
      <c r="O35" s="52">
        <v>0</v>
      </c>
    </row>
    <row r="36" spans="1:15">
      <c r="A36" s="39" t="s">
        <v>162</v>
      </c>
      <c r="B36" s="1"/>
      <c r="C36" s="1"/>
      <c r="D36" s="1"/>
      <c r="E36" s="1"/>
      <c r="F36" s="19"/>
      <c r="G36" s="52">
        <f>G30+G34+G35</f>
        <v>-220682.03905912006</v>
      </c>
      <c r="H36" s="52"/>
      <c r="I36" s="52"/>
      <c r="J36" s="52"/>
      <c r="K36" s="52"/>
      <c r="L36" s="52">
        <f>L30+L33+L34</f>
        <v>-532485.88653542404</v>
      </c>
      <c r="M36" s="52">
        <f>M30+M33-M34</f>
        <v>4325148.635547014</v>
      </c>
      <c r="N36" s="52">
        <f>N30-N34</f>
        <v>17456838.784086503</v>
      </c>
      <c r="O36" s="52">
        <f>O30-O34</f>
        <v>71402423.619861469</v>
      </c>
    </row>
    <row r="37" spans="1:15">
      <c r="A37" s="39" t="s">
        <v>161</v>
      </c>
      <c r="B37" s="1"/>
      <c r="C37" s="1"/>
      <c r="D37" s="1"/>
      <c r="E37" s="1"/>
      <c r="F37" s="19"/>
      <c r="G37" s="52">
        <v>0</v>
      </c>
      <c r="H37" s="52"/>
      <c r="I37" s="52"/>
      <c r="J37" s="52"/>
      <c r="K37" s="52"/>
      <c r="L37" s="52">
        <v>0</v>
      </c>
      <c r="M37" s="52">
        <f>M36*0.33</f>
        <v>1427299.0497305146</v>
      </c>
      <c r="N37" s="52">
        <f>N36*0.33</f>
        <v>5760756.7987485463</v>
      </c>
      <c r="O37" s="52">
        <f>O36*0.33</f>
        <v>23562799.794554286</v>
      </c>
    </row>
    <row r="38" spans="1:15">
      <c r="A38" s="2"/>
      <c r="B38" s="1"/>
      <c r="C38" s="1"/>
      <c r="D38" s="1"/>
      <c r="E38" s="1"/>
      <c r="F38" s="36"/>
      <c r="G38" s="1"/>
      <c r="H38" s="1"/>
      <c r="I38" s="1"/>
      <c r="J38" s="1"/>
      <c r="K38" s="1"/>
      <c r="L38" s="1"/>
      <c r="M38" s="1"/>
      <c r="N38" s="1"/>
      <c r="O38" s="1"/>
    </row>
    <row r="39" spans="1:15" ht="16">
      <c r="A39" s="37" t="s">
        <v>55</v>
      </c>
      <c r="B39" s="43"/>
      <c r="C39" s="53"/>
      <c r="D39" s="53"/>
      <c r="E39" s="53"/>
      <c r="F39" s="53"/>
      <c r="G39" s="53">
        <f>G36</f>
        <v>-220682.03905912006</v>
      </c>
      <c r="H39" s="53"/>
      <c r="I39" s="53"/>
      <c r="J39" s="53"/>
      <c r="K39" s="53"/>
      <c r="L39" s="53">
        <f>L36-L37</f>
        <v>-532485.88653542404</v>
      </c>
      <c r="M39" s="53">
        <f>M36-M37</f>
        <v>2897849.5858164993</v>
      </c>
      <c r="N39" s="53">
        <f>N36-N37</f>
        <v>11696081.985337958</v>
      </c>
      <c r="O39" s="53">
        <f>O36-O37</f>
        <v>47839623.825307183</v>
      </c>
    </row>
    <row r="40" spans="1:15">
      <c r="A40" s="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>
      <c r="A42" s="3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>
      <c r="A44" s="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>
      <c r="A45" s="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>
      <c r="A46" s="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>
      <c r="A50" s="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>
      <c r="A51" s="2"/>
    </row>
  </sheetData>
  <phoneticPr fontId="3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O24"/>
  <sheetViews>
    <sheetView zoomScale="125" workbookViewId="0">
      <pane xSplit="1" topLeftCell="B1" activePane="topRight" state="frozen"/>
      <selection pane="topRight" sqref="A1:A2"/>
    </sheetView>
  </sheetViews>
  <sheetFormatPr baseColWidth="10" defaultRowHeight="13"/>
  <cols>
    <col min="1" max="1" width="17" bestFit="1" customWidth="1"/>
    <col min="7" max="11" width="10.85546875" bestFit="1" customWidth="1"/>
    <col min="12" max="12" width="11.28515625" bestFit="1" customWidth="1"/>
    <col min="13" max="14" width="12" bestFit="1" customWidth="1"/>
    <col min="15" max="15" width="12.85546875" bestFit="1" customWidth="1"/>
  </cols>
  <sheetData>
    <row r="1" spans="1:15">
      <c r="A1" s="42" t="s">
        <v>64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42" t="s">
        <v>65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>
      <c r="A4" s="1" t="s">
        <v>30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>
      <c r="A5" s="1"/>
      <c r="B5" s="1"/>
      <c r="C5" s="1" t="s">
        <v>31</v>
      </c>
      <c r="D5" s="1" t="s">
        <v>32</v>
      </c>
      <c r="E5" s="1" t="s">
        <v>33</v>
      </c>
      <c r="F5" s="1" t="s">
        <v>34</v>
      </c>
      <c r="G5" s="1">
        <v>2009</v>
      </c>
      <c r="H5" s="1" t="s">
        <v>35</v>
      </c>
      <c r="I5" s="1" t="s">
        <v>36</v>
      </c>
      <c r="J5" s="1" t="s">
        <v>37</v>
      </c>
      <c r="K5" s="1" t="s">
        <v>38</v>
      </c>
      <c r="L5" s="1">
        <v>2010</v>
      </c>
      <c r="M5" s="1">
        <v>2011</v>
      </c>
      <c r="N5" s="1">
        <v>2012</v>
      </c>
      <c r="O5" s="1">
        <v>2013</v>
      </c>
    </row>
    <row r="6" spans="1: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>
      <c r="A7" s="1" t="s">
        <v>39</v>
      </c>
      <c r="B7" s="1"/>
      <c r="C7" s="1"/>
      <c r="D7" s="1"/>
      <c r="E7" s="1"/>
      <c r="F7" s="1"/>
      <c r="G7" s="1">
        <v>300</v>
      </c>
      <c r="H7" s="1"/>
      <c r="I7" s="1"/>
      <c r="J7" s="1"/>
      <c r="K7" s="1"/>
      <c r="L7" s="1">
        <v>2000</v>
      </c>
      <c r="M7" s="1">
        <v>10000</v>
      </c>
      <c r="N7" s="1">
        <v>30000</v>
      </c>
      <c r="O7" s="1">
        <v>100000</v>
      </c>
    </row>
    <row r="8" spans="1: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>
      <c r="A9" s="1" t="s">
        <v>283</v>
      </c>
      <c r="B9" s="1"/>
      <c r="C9" s="1"/>
      <c r="D9" s="1"/>
      <c r="E9" s="1"/>
      <c r="F9" s="1"/>
      <c r="G9" s="1">
        <f>G7*2</f>
        <v>600</v>
      </c>
      <c r="H9" s="1"/>
      <c r="I9" s="1"/>
      <c r="J9" s="1"/>
      <c r="K9" s="1"/>
      <c r="L9" s="1">
        <f>L7*4</f>
        <v>8000</v>
      </c>
      <c r="M9" s="1">
        <f t="shared" ref="M9:O9" si="0">M7*4</f>
        <v>40000</v>
      </c>
      <c r="N9" s="1">
        <f t="shared" si="0"/>
        <v>120000</v>
      </c>
      <c r="O9" s="1">
        <f t="shared" si="0"/>
        <v>400000</v>
      </c>
    </row>
    <row r="10" spans="1:15">
      <c r="A10" s="1" t="s">
        <v>284</v>
      </c>
      <c r="B10" s="1"/>
      <c r="C10" s="1"/>
      <c r="D10" s="1"/>
      <c r="E10" s="1"/>
      <c r="F10" s="1"/>
      <c r="G10" s="1">
        <f>G7</f>
        <v>300</v>
      </c>
      <c r="H10" s="1"/>
      <c r="I10" s="1"/>
      <c r="J10" s="1"/>
      <c r="K10" s="1"/>
      <c r="L10" s="1">
        <f>L7</f>
        <v>2000</v>
      </c>
      <c r="M10" s="1">
        <f t="shared" ref="M10:O10" si="1">M7</f>
        <v>10000</v>
      </c>
      <c r="N10" s="1">
        <f t="shared" si="1"/>
        <v>30000</v>
      </c>
      <c r="O10" s="1">
        <f t="shared" si="1"/>
        <v>100000</v>
      </c>
    </row>
    <row r="11" spans="1: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>
      <c r="A12" s="1" t="s">
        <v>40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>
      <c r="A13" s="33" t="s">
        <v>41</v>
      </c>
      <c r="B13" s="1"/>
      <c r="C13" s="1"/>
      <c r="D13" s="1"/>
      <c r="E13" s="1"/>
      <c r="F13" s="1"/>
      <c r="G13" s="1">
        <f>G9*'Distribution Model'!B14*('Bill of Materials'!G55)</f>
        <v>97347.374124000009</v>
      </c>
      <c r="H13" s="1"/>
      <c r="I13" s="1"/>
      <c r="J13" s="1"/>
      <c r="K13" s="1"/>
      <c r="L13" s="1">
        <f>L9*'Distribution Model'!C14*('Bill of Materials'!$G$55)</f>
        <v>930616.40672000009</v>
      </c>
      <c r="M13" s="1">
        <f>M9*'Distribution Model'!D14*('Bill of Materials'!$G$55)</f>
        <v>2204091.4896</v>
      </c>
      <c r="N13" s="1">
        <f>N9*'Distribution Model'!E14*('Bill of Materials'!$G$55)</f>
        <v>5877577.3056000005</v>
      </c>
      <c r="O13" s="1">
        <f>O9*'Distribution Model'!F14*('Bill of Materials'!$G$55)</f>
        <v>18367429.080000006</v>
      </c>
    </row>
    <row r="14" spans="1:15">
      <c r="A14" s="33" t="s">
        <v>42</v>
      </c>
      <c r="B14" s="1"/>
      <c r="C14" s="1"/>
      <c r="D14" s="1"/>
      <c r="E14" s="1"/>
      <c r="F14" s="1"/>
      <c r="G14" s="1">
        <f>G9*'Distribution Model'!B15*('Bill of Materials'!G59)</f>
        <v>114814.79917908002</v>
      </c>
      <c r="H14" s="1"/>
      <c r="I14" s="1"/>
      <c r="J14" s="1"/>
      <c r="K14" s="1"/>
      <c r="L14" s="1">
        <f>L9*'Distribution Model'!C15*('Bill of Materials'!$G$59)</f>
        <v>2019437.6025824007</v>
      </c>
      <c r="M14" s="1">
        <f>M9*'Distribution Model'!D15*('Bill of Materials'!$G$59)</f>
        <v>10097188.012912001</v>
      </c>
      <c r="N14" s="1">
        <f>N9*'Distribution Model'!E15*('Bill of Materials'!$G$59)</f>
        <v>30780137.652264006</v>
      </c>
      <c r="O14" s="1">
        <f>O9*'Distribution Model'!F15*('Bill of Materials'!$G$59)</f>
        <v>104229037.55264002</v>
      </c>
    </row>
    <row r="15" spans="1:15">
      <c r="A15" s="33" t="s">
        <v>43</v>
      </c>
      <c r="B15" s="1"/>
      <c r="C15" s="1"/>
      <c r="D15" s="1"/>
      <c r="E15" s="1"/>
      <c r="F15" s="1"/>
      <c r="G15" s="1">
        <f>G9*'Distribution Model'!B16*('Bill of Materials'!G59)</f>
        <v>0</v>
      </c>
      <c r="H15" s="1"/>
      <c r="I15" s="1"/>
      <c r="J15" s="1"/>
      <c r="K15" s="1"/>
      <c r="L15" s="1">
        <f>L9*'Distribution Model'!C16*('Bill of Materials'!$G$59)</f>
        <v>0</v>
      </c>
      <c r="M15" s="1">
        <f>M9*'Distribution Model'!D16*('Bill of Materials'!$G$59)</f>
        <v>3257157.4235200007</v>
      </c>
      <c r="N15" s="1">
        <f>N9*'Distribution Model'!E16*('Bill of Materials'!$G$59)</f>
        <v>10260045.884088004</v>
      </c>
      <c r="O15" s="1">
        <f>O9*'Distribution Model'!F16*('Bill of Materials'!$G$59)</f>
        <v>34200152.94696001</v>
      </c>
    </row>
    <row r="16" spans="1:15">
      <c r="A16" s="33" t="s">
        <v>44</v>
      </c>
      <c r="B16" s="1"/>
      <c r="C16" s="1"/>
      <c r="D16" s="1"/>
      <c r="E16" s="1"/>
      <c r="F16" s="1"/>
      <c r="G16" s="1">
        <f>SUM(G13:G15)</f>
        <v>212162.17330308002</v>
      </c>
      <c r="H16" s="1">
        <f t="shared" ref="H16:O16" si="2">SUM(H13:H15)</f>
        <v>0</v>
      </c>
      <c r="I16" s="1">
        <f t="shared" si="2"/>
        <v>0</v>
      </c>
      <c r="J16" s="1">
        <f t="shared" si="2"/>
        <v>0</v>
      </c>
      <c r="K16" s="1">
        <f t="shared" si="2"/>
        <v>0</v>
      </c>
      <c r="L16" s="1">
        <f t="shared" si="2"/>
        <v>2950054.009302401</v>
      </c>
      <c r="M16" s="1">
        <f t="shared" si="2"/>
        <v>15558436.926032001</v>
      </c>
      <c r="N16" s="1">
        <f t="shared" si="2"/>
        <v>46917760.841952011</v>
      </c>
      <c r="O16" s="1">
        <f t="shared" si="2"/>
        <v>156796619.57960004</v>
      </c>
    </row>
    <row r="17" spans="1: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>
      <c r="A18" s="1" t="s">
        <v>45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>
      <c r="A19" s="33" t="s">
        <v>46</v>
      </c>
      <c r="B19" s="1"/>
      <c r="C19" s="1"/>
      <c r="D19" s="1"/>
      <c r="E19" s="1"/>
      <c r="F19" s="1"/>
      <c r="G19" s="1">
        <f>G10*'Distribution Model'!B14*('Bill of Materials'!G92)</f>
        <v>25188.503339999999</v>
      </c>
      <c r="H19" s="1"/>
      <c r="I19" s="1"/>
      <c r="J19" s="1"/>
      <c r="K19" s="1"/>
      <c r="L19" s="1">
        <f>L10*'Distribution Model'!C14*('Bill of Materials'!$G$92)</f>
        <v>120397.87760000001</v>
      </c>
      <c r="M19" s="1">
        <f>M10*'Distribution Model'!D14*('Bill of Materials'!$G$92)</f>
        <v>285152.86800000002</v>
      </c>
      <c r="N19" s="1">
        <f>N10*'Distribution Model'!E14*('Bill of Materials'!$G$92)</f>
        <v>760407.64800000004</v>
      </c>
      <c r="O19" s="1">
        <f>O10*'Distribution Model'!F14*('Bill of Materials'!$G$92)</f>
        <v>2376273.9000000004</v>
      </c>
    </row>
    <row r="20" spans="1:15">
      <c r="A20" s="33" t="s">
        <v>47</v>
      </c>
      <c r="B20" s="1"/>
      <c r="C20" s="1"/>
      <c r="D20" s="1"/>
      <c r="E20" s="1"/>
      <c r="F20" s="1"/>
      <c r="G20" s="1">
        <f>G10*'Distribution Model'!B15*('Bill of Materials'!G96)</f>
        <v>29708.176297800001</v>
      </c>
      <c r="H20" s="1"/>
      <c r="I20" s="1"/>
      <c r="J20" s="1"/>
      <c r="K20" s="1"/>
      <c r="L20" s="1">
        <f>L10*'Distribution Model'!C15*('Bill of Materials'!$G$96)</f>
        <v>261263.39439200005</v>
      </c>
      <c r="M20" s="1">
        <f>M10*'Distribution Model'!D15*('Bill of Materials'!$G$96)</f>
        <v>1306316.97196</v>
      </c>
      <c r="N20" s="1">
        <f>N10*'Distribution Model'!E15*('Bill of Materials'!$G$96)</f>
        <v>3982159.80162</v>
      </c>
      <c r="O20" s="1">
        <f>O10*'Distribution Model'!F15*('Bill of Materials'!$G$96)</f>
        <v>13484562.291200001</v>
      </c>
    </row>
    <row r="21" spans="1:15">
      <c r="A21" s="33" t="s">
        <v>48</v>
      </c>
      <c r="B21" s="1"/>
      <c r="C21" s="1"/>
      <c r="D21" s="1"/>
      <c r="E21" s="1"/>
      <c r="F21" s="1"/>
      <c r="G21" s="1">
        <f>G10*'Distribution Model'!B16*('Bill of Materials'!G96)</f>
        <v>0</v>
      </c>
      <c r="H21" s="1"/>
      <c r="I21" s="1"/>
      <c r="J21" s="1"/>
      <c r="K21" s="1"/>
      <c r="L21" s="1">
        <f>L10*'Distribution Model'!C16*('Bill of Materials'!$G$96)</f>
        <v>0</v>
      </c>
      <c r="M21" s="1">
        <f>M10*'Distribution Model'!D16*('Bill of Materials'!$G$96)</f>
        <v>421392.57160000002</v>
      </c>
      <c r="N21" s="1">
        <f>N10*'Distribution Model'!E16*('Bill of Materials'!$G$96)</f>
        <v>1327386.6005400002</v>
      </c>
      <c r="O21" s="1">
        <f>O10*'Distribution Model'!F16*('Bill of Materials'!$G$96)</f>
        <v>4424622.0018000007</v>
      </c>
    </row>
    <row r="22" spans="1:15">
      <c r="A22" s="33" t="s">
        <v>49</v>
      </c>
      <c r="B22" s="1"/>
      <c r="C22" s="1"/>
      <c r="D22" s="1"/>
      <c r="E22" s="1"/>
      <c r="F22" s="1"/>
      <c r="G22" s="1">
        <f>SUM(G19:G21)</f>
        <v>54896.6796378</v>
      </c>
      <c r="H22" s="1">
        <f t="shared" ref="H22:O22" si="3">SUM(H19:H21)</f>
        <v>0</v>
      </c>
      <c r="I22" s="1">
        <f t="shared" si="3"/>
        <v>0</v>
      </c>
      <c r="J22" s="1">
        <f t="shared" si="3"/>
        <v>0</v>
      </c>
      <c r="K22" s="1">
        <f t="shared" si="3"/>
        <v>0</v>
      </c>
      <c r="L22" s="1">
        <f t="shared" si="3"/>
        <v>381661.27199200005</v>
      </c>
      <c r="M22" s="1">
        <f t="shared" si="3"/>
        <v>2012862.4115599999</v>
      </c>
      <c r="N22" s="1">
        <f t="shared" si="3"/>
        <v>6069954.0501600001</v>
      </c>
      <c r="O22" s="1">
        <f t="shared" si="3"/>
        <v>20285458.193000004</v>
      </c>
    </row>
    <row r="23" spans="1: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16">
      <c r="A24" s="34" t="s">
        <v>50</v>
      </c>
      <c r="B24" s="1"/>
      <c r="C24" s="50"/>
      <c r="D24" s="50"/>
      <c r="E24" s="50"/>
      <c r="F24" s="50"/>
      <c r="G24" s="50">
        <f>G22+G16</f>
        <v>267058.85294088</v>
      </c>
      <c r="H24" s="50">
        <f t="shared" ref="H24:O24" si="4">H22+H16</f>
        <v>0</v>
      </c>
      <c r="I24" s="50">
        <f t="shared" si="4"/>
        <v>0</v>
      </c>
      <c r="J24" s="50">
        <f t="shared" si="4"/>
        <v>0</v>
      </c>
      <c r="K24" s="50">
        <f t="shared" si="4"/>
        <v>0</v>
      </c>
      <c r="L24" s="50">
        <f t="shared" si="4"/>
        <v>3331715.2812944008</v>
      </c>
      <c r="M24" s="50">
        <f t="shared" si="4"/>
        <v>17571299.337592002</v>
      </c>
      <c r="N24" s="50">
        <f t="shared" si="4"/>
        <v>52987714.892112009</v>
      </c>
      <c r="O24" s="50">
        <f t="shared" si="4"/>
        <v>177082077.77260005</v>
      </c>
    </row>
  </sheetData>
  <phoneticPr fontId="3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T164"/>
  <sheetViews>
    <sheetView topLeftCell="A123" zoomScale="125" workbookViewId="0">
      <pane xSplit="1" topLeftCell="B1" activePane="topRight" state="frozen"/>
      <selection activeCell="A2" sqref="A2"/>
      <selection pane="topRight" sqref="A1:A2"/>
    </sheetView>
  </sheetViews>
  <sheetFormatPr baseColWidth="10" defaultRowHeight="13"/>
  <cols>
    <col min="1" max="1" width="25.85546875" customWidth="1"/>
    <col min="2" max="2" width="10.28515625" customWidth="1"/>
    <col min="3" max="3" width="9.28515625" customWidth="1"/>
    <col min="4" max="4" width="9" customWidth="1"/>
    <col min="5" max="5" width="9.5703125" bestFit="1" customWidth="1"/>
    <col min="6" max="6" width="6.85546875" bestFit="1" customWidth="1"/>
    <col min="7" max="7" width="10.85546875" bestFit="1" customWidth="1"/>
    <col min="8" max="8" width="7.28515625" bestFit="1" customWidth="1"/>
    <col min="9" max="9" width="10.85546875" bestFit="1" customWidth="1"/>
    <col min="10" max="10" width="7.28515625" bestFit="1" customWidth="1"/>
    <col min="11" max="11" width="10.85546875" bestFit="1" customWidth="1"/>
    <col min="12" max="13" width="11.28515625" bestFit="1" customWidth="1"/>
    <col min="14" max="14" width="10.7109375" hidden="1" customWidth="1"/>
    <col min="15" max="15" width="10.85546875" customWidth="1"/>
    <col min="16" max="16" width="10.7109375" hidden="1" customWidth="1"/>
    <col min="17" max="17" width="11.28515625" bestFit="1" customWidth="1"/>
    <col min="18" max="18" width="0" hidden="1" customWidth="1"/>
  </cols>
  <sheetData>
    <row r="1" spans="1:17">
      <c r="A1" s="42" t="s">
        <v>64</v>
      </c>
    </row>
    <row r="2" spans="1:17">
      <c r="A2" s="42" t="s">
        <v>65</v>
      </c>
    </row>
    <row r="3" spans="1:17">
      <c r="A3" s="1"/>
    </row>
    <row r="4" spans="1:17" s="6" customFormat="1">
      <c r="A4" s="19" t="s">
        <v>0</v>
      </c>
      <c r="B4" s="3"/>
      <c r="C4" s="3"/>
      <c r="D4" s="3"/>
      <c r="E4" s="3"/>
      <c r="F4" s="3"/>
      <c r="G4" s="3"/>
      <c r="H4" s="3"/>
      <c r="I4" s="3"/>
      <c r="J4" s="3"/>
    </row>
    <row r="5" spans="1:17" s="6" customFormat="1">
      <c r="A5" s="19"/>
      <c r="B5" s="3"/>
      <c r="C5" t="s">
        <v>188</v>
      </c>
      <c r="D5" t="s">
        <v>189</v>
      </c>
      <c r="E5" t="s">
        <v>190</v>
      </c>
      <c r="F5" t="s">
        <v>191</v>
      </c>
      <c r="G5">
        <v>2009</v>
      </c>
      <c r="H5" t="s">
        <v>192</v>
      </c>
      <c r="I5" t="s">
        <v>193</v>
      </c>
      <c r="J5" t="s">
        <v>194</v>
      </c>
      <c r="K5" t="s">
        <v>195</v>
      </c>
      <c r="L5">
        <v>2010</v>
      </c>
      <c r="M5">
        <v>2011</v>
      </c>
      <c r="O5">
        <v>2012</v>
      </c>
      <c r="Q5">
        <v>2013</v>
      </c>
    </row>
    <row r="6" spans="1:17" s="6" customFormat="1">
      <c r="A6" s="19"/>
      <c r="B6" s="3"/>
      <c r="C6"/>
      <c r="D6"/>
      <c r="E6"/>
      <c r="F6"/>
      <c r="G6"/>
      <c r="H6"/>
      <c r="I6"/>
      <c r="J6"/>
      <c r="K6"/>
      <c r="L6"/>
      <c r="M6"/>
      <c r="N6"/>
      <c r="O6"/>
    </row>
    <row r="7" spans="1:17" s="6" customFormat="1">
      <c r="A7" s="19" t="s">
        <v>166</v>
      </c>
      <c r="B7" s="3"/>
      <c r="C7" s="3"/>
      <c r="D7" s="3"/>
      <c r="E7" s="3"/>
      <c r="F7" s="3"/>
      <c r="H7" s="3"/>
      <c r="I7" s="3"/>
      <c r="J7" s="3"/>
    </row>
    <row r="8" spans="1:17" s="6" customFormat="1">
      <c r="A8" s="20" t="s">
        <v>69</v>
      </c>
      <c r="B8" s="4"/>
      <c r="C8" s="16"/>
      <c r="D8" s="16"/>
      <c r="E8" s="16"/>
      <c r="F8" s="16"/>
      <c r="G8" s="17">
        <v>75</v>
      </c>
      <c r="H8" s="16"/>
      <c r="I8" s="16"/>
      <c r="J8" s="16"/>
      <c r="K8" s="18"/>
      <c r="L8" s="18"/>
      <c r="M8" s="18"/>
      <c r="N8" s="18"/>
      <c r="O8" s="18"/>
      <c r="P8" s="18"/>
      <c r="Q8" s="18"/>
    </row>
    <row r="9" spans="1:17" s="6" customFormat="1">
      <c r="A9" s="20" t="s">
        <v>70</v>
      </c>
      <c r="B9" s="4"/>
      <c r="C9" s="16"/>
      <c r="D9" s="16"/>
      <c r="E9" s="16"/>
      <c r="F9" s="16"/>
      <c r="G9" s="17">
        <v>300</v>
      </c>
      <c r="H9" s="16"/>
      <c r="I9" s="16"/>
      <c r="J9" s="16"/>
      <c r="K9" s="18"/>
      <c r="L9" s="18"/>
      <c r="M9" s="18"/>
      <c r="N9" s="18"/>
      <c r="O9" s="18"/>
      <c r="P9" s="18"/>
      <c r="Q9" s="18"/>
    </row>
    <row r="10" spans="1:17" s="6" customFormat="1">
      <c r="A10" s="20" t="s">
        <v>71</v>
      </c>
      <c r="B10" s="4"/>
      <c r="C10" s="16"/>
      <c r="D10" s="16"/>
      <c r="E10" s="16"/>
      <c r="F10" s="16"/>
      <c r="G10" s="17">
        <v>11200</v>
      </c>
      <c r="H10" s="16"/>
      <c r="I10" s="16"/>
      <c r="J10" s="16"/>
      <c r="K10" s="18"/>
      <c r="L10" s="18"/>
      <c r="M10" s="18"/>
      <c r="N10" s="18"/>
      <c r="O10" s="18"/>
      <c r="P10" s="18"/>
      <c r="Q10" s="18"/>
    </row>
    <row r="11" spans="1:17" s="6" customFormat="1">
      <c r="A11" s="20" t="s">
        <v>1</v>
      </c>
      <c r="B11" s="4"/>
      <c r="C11" s="16"/>
      <c r="D11" s="16"/>
      <c r="E11" s="16"/>
      <c r="F11" s="16"/>
      <c r="G11" s="16">
        <f>SUM(G8:G10)</f>
        <v>11575</v>
      </c>
      <c r="H11" s="16">
        <f t="shared" ref="H11:Q11" si="0">SUM(H8:H10)</f>
        <v>0</v>
      </c>
      <c r="I11" s="16">
        <f t="shared" si="0"/>
        <v>0</v>
      </c>
      <c r="J11" s="16">
        <f t="shared" si="0"/>
        <v>0</v>
      </c>
      <c r="K11" s="16">
        <f t="shared" si="0"/>
        <v>0</v>
      </c>
      <c r="L11" s="16">
        <f t="shared" si="0"/>
        <v>0</v>
      </c>
      <c r="M11" s="16">
        <f t="shared" si="0"/>
        <v>0</v>
      </c>
      <c r="N11" s="16">
        <f t="shared" si="0"/>
        <v>0</v>
      </c>
      <c r="O11" s="16">
        <f t="shared" si="0"/>
        <v>0</v>
      </c>
      <c r="P11" s="16">
        <f t="shared" si="0"/>
        <v>0</v>
      </c>
      <c r="Q11" s="16">
        <f t="shared" si="0"/>
        <v>0</v>
      </c>
    </row>
    <row r="12" spans="1:17" s="6" customFormat="1">
      <c r="A12" s="19" t="s">
        <v>167</v>
      </c>
      <c r="B12" s="3"/>
      <c r="C12" s="16"/>
      <c r="D12" s="16"/>
      <c r="E12" s="16"/>
      <c r="F12" s="16"/>
      <c r="G12" s="16"/>
      <c r="H12" s="16"/>
      <c r="I12" s="16"/>
      <c r="J12" s="16"/>
      <c r="K12" s="18"/>
      <c r="L12" s="18"/>
      <c r="M12" s="18"/>
      <c r="N12" s="18"/>
      <c r="O12" s="18"/>
      <c r="P12" s="18"/>
      <c r="Q12" s="18"/>
    </row>
    <row r="13" spans="1:17" s="6" customFormat="1">
      <c r="A13" s="20" t="s">
        <v>176</v>
      </c>
      <c r="B13" s="4"/>
      <c r="C13" s="16"/>
      <c r="D13" s="16"/>
      <c r="E13" s="16"/>
      <c r="F13" s="16"/>
      <c r="G13" s="16"/>
      <c r="H13" s="16"/>
      <c r="I13" s="16"/>
      <c r="J13" s="16"/>
      <c r="K13" s="18"/>
      <c r="L13" s="18"/>
      <c r="M13" s="18"/>
      <c r="N13" s="18"/>
      <c r="O13" s="18"/>
      <c r="P13" s="18"/>
      <c r="Q13" s="18"/>
    </row>
    <row r="14" spans="1:17" s="6" customFormat="1">
      <c r="A14" s="21" t="s">
        <v>72</v>
      </c>
      <c r="B14" s="5"/>
      <c r="C14" s="16"/>
      <c r="D14" s="16"/>
      <c r="E14" s="16"/>
      <c r="F14" s="16"/>
      <c r="G14" s="16">
        <f>(40*12)/4</f>
        <v>120</v>
      </c>
      <c r="H14" s="16"/>
      <c r="I14" s="16"/>
      <c r="J14" s="16"/>
      <c r="K14" s="18"/>
      <c r="L14" s="16">
        <f>(40*12)/2</f>
        <v>240</v>
      </c>
      <c r="M14" s="16">
        <f>(40*12)</f>
        <v>480</v>
      </c>
      <c r="N14" s="18"/>
      <c r="O14" s="16">
        <f>(40*12)</f>
        <v>480</v>
      </c>
      <c r="P14" s="18"/>
      <c r="Q14" s="16">
        <f>(40*12)</f>
        <v>480</v>
      </c>
    </row>
    <row r="15" spans="1:17" s="6" customFormat="1">
      <c r="A15" s="21" t="s">
        <v>73</v>
      </c>
      <c r="B15" s="5"/>
      <c r="C15" s="16"/>
      <c r="D15" s="16"/>
      <c r="E15" s="16"/>
      <c r="F15" s="16"/>
      <c r="G15" s="16">
        <f>(130*4)/4</f>
        <v>130</v>
      </c>
      <c r="H15" s="16"/>
      <c r="I15" s="16"/>
      <c r="J15" s="16"/>
      <c r="K15" s="18"/>
      <c r="L15" s="16">
        <f>(130*4)/2</f>
        <v>260</v>
      </c>
      <c r="M15" s="16">
        <f>(130*4)</f>
        <v>520</v>
      </c>
      <c r="N15" s="18"/>
      <c r="O15" s="16">
        <f>(130*4)</f>
        <v>520</v>
      </c>
      <c r="P15" s="18"/>
      <c r="Q15" s="16">
        <f>(130*4)</f>
        <v>520</v>
      </c>
    </row>
    <row r="16" spans="1:17" s="6" customFormat="1">
      <c r="A16" s="21" t="s">
        <v>74</v>
      </c>
      <c r="B16" s="5"/>
      <c r="C16" s="16"/>
      <c r="D16" s="16"/>
      <c r="E16" s="16"/>
      <c r="F16" s="16"/>
      <c r="G16" s="16">
        <f>(21*12)/4</f>
        <v>63</v>
      </c>
      <c r="H16" s="16"/>
      <c r="I16" s="16"/>
      <c r="J16" s="16"/>
      <c r="K16" s="18"/>
      <c r="L16" s="16">
        <f>(21*12)/2</f>
        <v>126</v>
      </c>
      <c r="M16" s="16">
        <f>(21*12)</f>
        <v>252</v>
      </c>
      <c r="N16" s="18"/>
      <c r="O16" s="16">
        <f>(21*12)</f>
        <v>252</v>
      </c>
      <c r="P16" s="18"/>
      <c r="Q16" s="16">
        <f>(21*12)</f>
        <v>252</v>
      </c>
    </row>
    <row r="17" spans="1:17" s="6" customFormat="1">
      <c r="A17" s="21" t="s">
        <v>75</v>
      </c>
      <c r="B17" s="5"/>
      <c r="C17" s="16"/>
      <c r="D17" s="16"/>
      <c r="E17" s="16"/>
      <c r="F17" s="16"/>
      <c r="G17" s="16">
        <f>(35*12)/4</f>
        <v>105</v>
      </c>
      <c r="H17" s="16"/>
      <c r="I17" s="16"/>
      <c r="J17" s="16"/>
      <c r="K17" s="18"/>
      <c r="L17" s="16">
        <f>(35*12)/2</f>
        <v>210</v>
      </c>
      <c r="M17" s="16">
        <f>(35*12)</f>
        <v>420</v>
      </c>
      <c r="N17" s="18"/>
      <c r="O17" s="16">
        <f>(35*12)</f>
        <v>420</v>
      </c>
      <c r="P17" s="18"/>
      <c r="Q17" s="16">
        <f>(35*12)</f>
        <v>420</v>
      </c>
    </row>
    <row r="18" spans="1:17" s="6" customFormat="1">
      <c r="A18" s="21" t="s">
        <v>76</v>
      </c>
      <c r="B18" s="5"/>
      <c r="C18" s="16"/>
      <c r="D18" s="16"/>
      <c r="E18" s="16"/>
      <c r="F18" s="16"/>
      <c r="G18" s="16">
        <f>(80*12)/2</f>
        <v>480</v>
      </c>
      <c r="H18" s="16"/>
      <c r="I18" s="16"/>
      <c r="J18" s="16"/>
      <c r="K18" s="18"/>
      <c r="L18" s="16">
        <f>200*12</f>
        <v>2400</v>
      </c>
      <c r="M18" s="16">
        <f>200*12</f>
        <v>2400</v>
      </c>
      <c r="N18" s="18"/>
      <c r="O18" s="16">
        <f>200*12</f>
        <v>2400</v>
      </c>
      <c r="P18" s="18"/>
      <c r="Q18" s="16">
        <f>200*12</f>
        <v>2400</v>
      </c>
    </row>
    <row r="19" spans="1:17" s="6" customFormat="1">
      <c r="A19" s="20" t="s">
        <v>177</v>
      </c>
      <c r="B19" s="4"/>
      <c r="C19" s="16"/>
      <c r="D19" s="16"/>
      <c r="E19" s="16"/>
      <c r="F19" s="16"/>
      <c r="G19" s="16"/>
      <c r="H19" s="16"/>
      <c r="I19" s="16"/>
      <c r="J19" s="16"/>
      <c r="K19" s="18"/>
      <c r="L19" s="18"/>
      <c r="M19" s="18"/>
      <c r="N19" s="18"/>
      <c r="O19" s="16"/>
      <c r="P19" s="18"/>
      <c r="Q19" s="18"/>
    </row>
    <row r="20" spans="1:17" s="6" customFormat="1">
      <c r="A20" s="21" t="s">
        <v>77</v>
      </c>
      <c r="B20" s="5"/>
      <c r="C20" s="16"/>
      <c r="D20" s="16"/>
      <c r="E20" s="16"/>
      <c r="F20" s="16"/>
      <c r="G20" s="16">
        <v>120</v>
      </c>
      <c r="H20" s="16"/>
      <c r="I20" s="16"/>
      <c r="J20" s="16"/>
      <c r="K20" s="18"/>
      <c r="L20" s="16">
        <v>120</v>
      </c>
      <c r="M20" s="16">
        <v>300</v>
      </c>
      <c r="N20" s="18"/>
      <c r="O20" s="16">
        <v>400</v>
      </c>
      <c r="P20" s="18"/>
      <c r="Q20" s="16">
        <f>5*O158</f>
        <v>630</v>
      </c>
    </row>
    <row r="21" spans="1:17" s="6" customFormat="1">
      <c r="A21" s="21" t="s">
        <v>78</v>
      </c>
      <c r="B21" s="5"/>
      <c r="C21" s="16"/>
      <c r="D21" s="16"/>
      <c r="E21" s="16"/>
      <c r="F21" s="16"/>
      <c r="G21" s="16">
        <v>85</v>
      </c>
      <c r="H21" s="16"/>
      <c r="I21" s="16"/>
      <c r="J21" s="16"/>
      <c r="K21" s="18"/>
      <c r="L21" s="16">
        <v>100</v>
      </c>
      <c r="M21" s="16">
        <v>200</v>
      </c>
      <c r="N21" s="18"/>
      <c r="O21" s="16">
        <v>300</v>
      </c>
      <c r="P21" s="18"/>
      <c r="Q21" s="16">
        <v>300</v>
      </c>
    </row>
    <row r="22" spans="1:17" s="6" customFormat="1">
      <c r="A22" s="20" t="s">
        <v>178</v>
      </c>
      <c r="B22" s="4"/>
      <c r="C22" s="16"/>
      <c r="D22" s="16"/>
      <c r="E22" s="16"/>
      <c r="F22" s="16"/>
      <c r="G22" s="16"/>
      <c r="H22" s="16"/>
      <c r="I22" s="16"/>
      <c r="J22" s="16"/>
      <c r="K22" s="18"/>
      <c r="L22" s="18"/>
      <c r="M22" s="18"/>
      <c r="N22" s="18"/>
      <c r="O22" s="18"/>
      <c r="P22" s="18"/>
      <c r="Q22" s="18"/>
    </row>
    <row r="23" spans="1:17" s="6" customFormat="1">
      <c r="A23" s="21" t="s">
        <v>79</v>
      </c>
      <c r="B23" s="5"/>
      <c r="C23" s="16"/>
      <c r="D23" s="16"/>
      <c r="E23" s="16"/>
      <c r="F23" s="16"/>
      <c r="G23" s="17">
        <v>200</v>
      </c>
      <c r="H23" s="16"/>
      <c r="I23" s="16"/>
      <c r="J23" s="16"/>
      <c r="K23" s="18"/>
      <c r="L23" s="17">
        <v>600</v>
      </c>
      <c r="M23" s="18"/>
      <c r="N23" s="18"/>
      <c r="O23" s="18"/>
      <c r="P23" s="18"/>
      <c r="Q23" s="18"/>
    </row>
    <row r="24" spans="1:17" s="6" customFormat="1">
      <c r="A24" s="21" t="s">
        <v>80</v>
      </c>
      <c r="B24" s="5"/>
      <c r="C24" s="16"/>
      <c r="D24" s="16"/>
      <c r="E24" s="16"/>
      <c r="F24" s="16"/>
      <c r="G24" s="16">
        <f>(15*6)</f>
        <v>90</v>
      </c>
      <c r="H24" s="16"/>
      <c r="I24" s="16"/>
      <c r="J24" s="16"/>
      <c r="K24" s="18"/>
      <c r="L24" s="16">
        <f>15*12</f>
        <v>180</v>
      </c>
      <c r="M24" s="16">
        <f>200*10</f>
        <v>2000</v>
      </c>
      <c r="N24" s="18"/>
      <c r="O24" s="18"/>
      <c r="P24" s="18"/>
      <c r="Q24" s="18"/>
    </row>
    <row r="25" spans="1:17" s="6" customFormat="1">
      <c r="A25" s="21" t="s">
        <v>81</v>
      </c>
      <c r="B25" s="5"/>
      <c r="C25" s="16"/>
      <c r="D25" s="16"/>
      <c r="E25" s="16"/>
      <c r="F25" s="18"/>
      <c r="G25" s="16"/>
      <c r="H25" s="16"/>
      <c r="I25" s="16"/>
      <c r="J25" s="18"/>
      <c r="K25" s="18"/>
      <c r="L25" s="17">
        <v>10000</v>
      </c>
      <c r="M25" s="17">
        <f>N158*300</f>
        <v>6900</v>
      </c>
      <c r="N25" s="18"/>
      <c r="O25" s="17">
        <f>P158*300</f>
        <v>14100</v>
      </c>
      <c r="P25" s="18"/>
      <c r="Q25" s="17">
        <f>R158*300</f>
        <v>15900</v>
      </c>
    </row>
    <row r="26" spans="1:17" s="6" customFormat="1">
      <c r="A26" s="20" t="s">
        <v>179</v>
      </c>
      <c r="B26" s="4"/>
      <c r="C26" s="16"/>
      <c r="D26" s="16"/>
      <c r="E26" s="16"/>
      <c r="F26" s="18"/>
      <c r="G26" s="16"/>
      <c r="H26" s="16"/>
      <c r="I26" s="16"/>
      <c r="J26" s="18"/>
      <c r="K26" s="18"/>
      <c r="L26" s="18"/>
      <c r="M26" s="18"/>
      <c r="N26" s="18"/>
      <c r="O26" s="18"/>
      <c r="P26" s="18"/>
      <c r="Q26" s="18"/>
    </row>
    <row r="27" spans="1:17" s="6" customFormat="1">
      <c r="A27" s="21" t="s">
        <v>82</v>
      </c>
      <c r="B27" s="5"/>
      <c r="C27" s="16"/>
      <c r="D27" s="16"/>
      <c r="E27" s="16"/>
      <c r="F27" s="18"/>
      <c r="G27" s="16"/>
      <c r="H27" s="16"/>
      <c r="I27" s="16"/>
      <c r="J27" s="18"/>
      <c r="K27" s="18"/>
      <c r="L27" s="17">
        <v>2000</v>
      </c>
      <c r="M27" s="17">
        <f>N158*900</f>
        <v>20700</v>
      </c>
      <c r="N27" s="18"/>
      <c r="O27" s="17">
        <f>P158*900</f>
        <v>42300</v>
      </c>
      <c r="P27" s="18"/>
      <c r="Q27" s="17">
        <f>R158*900</f>
        <v>47700</v>
      </c>
    </row>
    <row r="28" spans="1:17" s="6" customFormat="1">
      <c r="A28" s="21" t="s">
        <v>83</v>
      </c>
      <c r="B28" s="5"/>
      <c r="C28" s="16"/>
      <c r="D28" s="16"/>
      <c r="E28" s="16"/>
      <c r="F28" s="18"/>
      <c r="G28" s="16"/>
      <c r="H28" s="16"/>
      <c r="I28" s="16"/>
      <c r="J28" s="18"/>
      <c r="K28" s="18"/>
      <c r="L28" s="18"/>
      <c r="M28" s="17">
        <f>600*4</f>
        <v>2400</v>
      </c>
      <c r="N28" s="18"/>
      <c r="O28" s="18"/>
      <c r="P28" s="18"/>
      <c r="Q28" s="17">
        <f>600*4</f>
        <v>2400</v>
      </c>
    </row>
    <row r="29" spans="1:17" s="6" customFormat="1">
      <c r="A29" s="21" t="s">
        <v>84</v>
      </c>
      <c r="B29" s="5"/>
      <c r="C29" s="16"/>
      <c r="D29" s="16"/>
      <c r="E29" s="16"/>
      <c r="F29" s="18"/>
      <c r="G29" s="16"/>
      <c r="H29" s="16"/>
      <c r="I29" s="16"/>
      <c r="J29" s="18"/>
      <c r="K29" s="18"/>
      <c r="L29" s="17">
        <v>200</v>
      </c>
      <c r="M29" s="17">
        <f>100*10</f>
        <v>1000</v>
      </c>
      <c r="N29" s="18"/>
      <c r="O29" s="18"/>
      <c r="P29" s="18"/>
      <c r="Q29" s="17">
        <f>100*10</f>
        <v>1000</v>
      </c>
    </row>
    <row r="30" spans="1:17" s="6" customFormat="1">
      <c r="A30" s="21" t="s">
        <v>85</v>
      </c>
      <c r="B30" s="5"/>
      <c r="C30" s="16"/>
      <c r="D30" s="16"/>
      <c r="E30" s="16"/>
      <c r="F30" s="18"/>
      <c r="G30" s="16"/>
      <c r="H30" s="16"/>
      <c r="I30" s="16"/>
      <c r="J30" s="18"/>
      <c r="K30" s="18"/>
      <c r="L30" s="17">
        <v>8000</v>
      </c>
      <c r="M30" s="17"/>
      <c r="N30" s="18"/>
      <c r="O30" s="18"/>
      <c r="P30" s="18"/>
      <c r="Q30" s="18"/>
    </row>
    <row r="31" spans="1:17" s="6" customFormat="1">
      <c r="A31" s="21" t="s">
        <v>86</v>
      </c>
      <c r="B31" s="5"/>
      <c r="C31" s="16"/>
      <c r="D31" s="16"/>
      <c r="E31" s="16"/>
      <c r="F31" s="18"/>
      <c r="G31" s="16"/>
      <c r="H31" s="16"/>
      <c r="I31" s="16"/>
      <c r="J31" s="18"/>
      <c r="K31" s="18"/>
      <c r="L31" s="17">
        <v>800</v>
      </c>
      <c r="M31" s="17">
        <f>N158*200</f>
        <v>4600</v>
      </c>
      <c r="N31" s="18"/>
      <c r="O31" s="17">
        <f>P158*200</f>
        <v>9400</v>
      </c>
      <c r="P31" s="18"/>
      <c r="Q31" s="17">
        <f>R158*200</f>
        <v>10600</v>
      </c>
    </row>
    <row r="32" spans="1:17" s="6" customFormat="1">
      <c r="A32" s="21" t="s">
        <v>87</v>
      </c>
      <c r="B32" s="5"/>
      <c r="C32" s="16"/>
      <c r="D32" s="16"/>
      <c r="E32" s="16"/>
      <c r="F32" s="18"/>
      <c r="G32" s="16"/>
      <c r="H32" s="16"/>
      <c r="I32" s="16"/>
      <c r="J32" s="18"/>
      <c r="K32" s="18"/>
      <c r="L32" s="17">
        <v>400</v>
      </c>
      <c r="M32" s="17">
        <f>120*N158</f>
        <v>2760</v>
      </c>
      <c r="N32" s="18"/>
      <c r="O32" s="17">
        <f>120*P158</f>
        <v>5640</v>
      </c>
      <c r="P32" s="18"/>
      <c r="Q32" s="17">
        <f>120*R158</f>
        <v>6360</v>
      </c>
    </row>
    <row r="33" spans="1:17" s="6" customFormat="1">
      <c r="A33" s="21" t="s">
        <v>88</v>
      </c>
      <c r="B33" s="5"/>
      <c r="C33" s="16"/>
      <c r="D33" s="16"/>
      <c r="E33" s="16"/>
      <c r="F33" s="18"/>
      <c r="G33" s="16">
        <v>320</v>
      </c>
      <c r="H33" s="16"/>
      <c r="I33" s="16"/>
      <c r="J33" s="18"/>
      <c r="K33" s="18"/>
      <c r="L33" s="18"/>
      <c r="M33" s="17">
        <f>40*2</f>
        <v>80</v>
      </c>
      <c r="N33" s="18"/>
      <c r="O33" s="17">
        <f>40*2</f>
        <v>80</v>
      </c>
      <c r="P33" s="18"/>
      <c r="Q33" s="17">
        <f>40*2</f>
        <v>80</v>
      </c>
    </row>
    <row r="34" spans="1:17" s="6" customFormat="1">
      <c r="A34" s="21" t="s">
        <v>89</v>
      </c>
      <c r="B34" s="5"/>
      <c r="C34" s="16"/>
      <c r="D34" s="16"/>
      <c r="E34" s="16"/>
      <c r="F34" s="18"/>
      <c r="G34" s="17">
        <v>200</v>
      </c>
      <c r="H34" s="16"/>
      <c r="I34" s="16"/>
      <c r="J34" s="18"/>
      <c r="K34" s="18"/>
      <c r="L34" s="18"/>
      <c r="M34" s="17">
        <f>N158*50</f>
        <v>1150</v>
      </c>
      <c r="N34" s="18"/>
      <c r="O34" s="17">
        <f>P158*50</f>
        <v>2350</v>
      </c>
      <c r="P34" s="18"/>
      <c r="Q34" s="17">
        <f>R158*50</f>
        <v>2650</v>
      </c>
    </row>
    <row r="35" spans="1:17" s="6" customFormat="1">
      <c r="A35" s="21" t="s">
        <v>90</v>
      </c>
      <c r="B35" s="5"/>
      <c r="C35" s="16"/>
      <c r="D35" s="16"/>
      <c r="E35" s="16"/>
      <c r="F35" s="18"/>
      <c r="G35" s="16"/>
      <c r="H35" s="16"/>
      <c r="I35" s="16"/>
      <c r="J35" s="18"/>
      <c r="K35" s="18"/>
      <c r="L35" s="17">
        <v>100</v>
      </c>
      <c r="M35" s="17">
        <f>N158*20</f>
        <v>460</v>
      </c>
      <c r="N35" s="18"/>
      <c r="O35" s="17">
        <f>P158*20</f>
        <v>940</v>
      </c>
      <c r="P35" s="18"/>
      <c r="Q35" s="17">
        <f>R158*20</f>
        <v>1060</v>
      </c>
    </row>
    <row r="36" spans="1:17" s="6" customFormat="1">
      <c r="A36" s="21" t="s">
        <v>91</v>
      </c>
      <c r="B36" s="5"/>
      <c r="C36" s="16"/>
      <c r="D36" s="16"/>
      <c r="E36" s="16"/>
      <c r="F36" s="18"/>
      <c r="G36" s="17">
        <v>439</v>
      </c>
      <c r="H36" s="16"/>
      <c r="I36" s="16"/>
      <c r="J36" s="18"/>
      <c r="K36" s="18"/>
      <c r="L36" s="17">
        <v>3000</v>
      </c>
      <c r="M36" s="17">
        <f>500*2</f>
        <v>1000</v>
      </c>
      <c r="N36" s="18"/>
      <c r="O36" s="17">
        <f>500*2</f>
        <v>1000</v>
      </c>
      <c r="P36" s="18"/>
      <c r="Q36" s="17">
        <f>500*2</f>
        <v>1000</v>
      </c>
    </row>
    <row r="37" spans="1:17" s="6" customFormat="1">
      <c r="A37" s="20" t="s">
        <v>180</v>
      </c>
      <c r="B37" s="4"/>
      <c r="C37" s="16"/>
      <c r="D37" s="16"/>
      <c r="E37" s="16"/>
      <c r="F37" s="18"/>
      <c r="G37" s="16">
        <f>400*12</f>
        <v>4800</v>
      </c>
      <c r="H37" s="16"/>
      <c r="I37" s="16"/>
      <c r="J37" s="16"/>
      <c r="K37" s="18"/>
      <c r="L37" s="16">
        <f>1000*12</f>
        <v>12000</v>
      </c>
      <c r="M37" s="16">
        <f>1000*12</f>
        <v>12000</v>
      </c>
      <c r="N37" s="18"/>
      <c r="O37" s="16">
        <f>5000*12</f>
        <v>60000</v>
      </c>
      <c r="P37" s="18"/>
      <c r="Q37" s="16">
        <f>5000*12</f>
        <v>60000</v>
      </c>
    </row>
    <row r="38" spans="1:17" s="6" customFormat="1">
      <c r="A38" s="20" t="s">
        <v>181</v>
      </c>
      <c r="B38" s="4"/>
      <c r="C38" s="16"/>
      <c r="D38" s="16"/>
      <c r="E38" s="16"/>
      <c r="F38" s="16"/>
      <c r="G38" s="16">
        <v>5000</v>
      </c>
      <c r="H38" s="16"/>
      <c r="I38" s="16"/>
      <c r="J38" s="16"/>
      <c r="K38" s="18"/>
      <c r="L38" s="16">
        <v>10000</v>
      </c>
      <c r="M38" s="16">
        <v>10000</v>
      </c>
      <c r="N38" s="18"/>
      <c r="O38" s="16">
        <v>15000</v>
      </c>
      <c r="P38" s="18"/>
      <c r="Q38" s="16">
        <v>15000</v>
      </c>
    </row>
    <row r="39" spans="1:17" s="6" customFormat="1">
      <c r="A39" s="20" t="s">
        <v>2</v>
      </c>
      <c r="B39" s="4"/>
      <c r="C39" s="16"/>
      <c r="D39" s="16"/>
      <c r="E39" s="16"/>
      <c r="F39" s="16"/>
      <c r="G39" s="16">
        <f>SUM(G13:G38)</f>
        <v>12152</v>
      </c>
      <c r="H39" s="16">
        <f t="shared" ref="H39:Q39" si="1">SUM(H13:H38)</f>
        <v>0</v>
      </c>
      <c r="I39" s="16">
        <f t="shared" si="1"/>
        <v>0</v>
      </c>
      <c r="J39" s="16">
        <f t="shared" si="1"/>
        <v>0</v>
      </c>
      <c r="K39" s="16">
        <f t="shared" si="1"/>
        <v>0</v>
      </c>
      <c r="L39" s="16">
        <f t="shared" si="1"/>
        <v>50736</v>
      </c>
      <c r="M39" s="16">
        <f t="shared" si="1"/>
        <v>69622</v>
      </c>
      <c r="N39" s="16">
        <f t="shared" si="1"/>
        <v>0</v>
      </c>
      <c r="O39" s="16">
        <f t="shared" si="1"/>
        <v>155582</v>
      </c>
      <c r="P39" s="16">
        <f t="shared" si="1"/>
        <v>0</v>
      </c>
      <c r="Q39" s="16">
        <f t="shared" si="1"/>
        <v>168752</v>
      </c>
    </row>
    <row r="40" spans="1:17" s="6" customFormat="1">
      <c r="A40" s="19" t="s">
        <v>168</v>
      </c>
      <c r="B40" s="3"/>
      <c r="C40" s="16"/>
      <c r="D40" s="16"/>
      <c r="E40" s="16"/>
      <c r="F40" s="16"/>
      <c r="G40" s="16"/>
      <c r="H40" s="16"/>
      <c r="I40" s="16"/>
      <c r="J40" s="16"/>
      <c r="K40" s="18"/>
      <c r="L40" s="18"/>
      <c r="M40" s="18"/>
      <c r="N40" s="18"/>
      <c r="O40" s="18"/>
      <c r="P40" s="18"/>
      <c r="Q40" s="18"/>
    </row>
    <row r="41" spans="1:17" s="6" customFormat="1">
      <c r="A41" s="20" t="s">
        <v>178</v>
      </c>
      <c r="B41" s="4"/>
      <c r="C41" s="16"/>
      <c r="D41" s="16"/>
      <c r="E41" s="16"/>
      <c r="F41" s="16"/>
      <c r="G41" s="16">
        <f>300</f>
        <v>300</v>
      </c>
      <c r="H41" s="16"/>
      <c r="I41" s="16"/>
      <c r="J41" s="16"/>
      <c r="K41" s="18"/>
      <c r="L41" s="16">
        <v>2000</v>
      </c>
      <c r="M41" s="16">
        <v>5000</v>
      </c>
      <c r="N41" s="18"/>
      <c r="O41" s="16">
        <v>7000</v>
      </c>
      <c r="P41" s="18"/>
      <c r="Q41" s="16">
        <v>7000</v>
      </c>
    </row>
    <row r="42" spans="1:17" s="6" customFormat="1">
      <c r="A42" s="20" t="s">
        <v>175</v>
      </c>
      <c r="B42" s="4"/>
      <c r="C42" s="16"/>
      <c r="D42" s="16"/>
      <c r="E42" s="16"/>
      <c r="F42" s="16"/>
      <c r="G42" s="16">
        <f>(13+(G158*2))*8+(G158*12)</f>
        <v>216</v>
      </c>
      <c r="H42" s="16"/>
      <c r="I42" s="16"/>
      <c r="J42" s="16"/>
      <c r="K42" s="18"/>
      <c r="L42" s="16">
        <f>(13+(L158*2))*12+(L158*12)</f>
        <v>1236</v>
      </c>
      <c r="M42" s="16">
        <f>(13+(M158*2))*12+(M158*12)</f>
        <v>2136</v>
      </c>
      <c r="N42" s="18"/>
      <c r="O42" s="16">
        <f>(13+(O158*2))*12+(O158*12)</f>
        <v>4692</v>
      </c>
      <c r="P42" s="18"/>
      <c r="Q42" s="16">
        <f>(13+(Q158*2))*12+(Q158*12)</f>
        <v>8400</v>
      </c>
    </row>
    <row r="43" spans="1:17" s="6" customFormat="1">
      <c r="A43" s="20" t="s">
        <v>182</v>
      </c>
      <c r="B43" s="4"/>
      <c r="C43" s="16"/>
      <c r="D43" s="16"/>
      <c r="E43" s="16"/>
      <c r="F43" s="16"/>
      <c r="G43" s="16">
        <f>2*24*12</f>
        <v>576</v>
      </c>
      <c r="H43" s="16"/>
      <c r="I43" s="16"/>
      <c r="J43" s="16"/>
      <c r="K43" s="18"/>
      <c r="L43" s="16">
        <v>5000</v>
      </c>
      <c r="M43" s="16">
        <v>10000</v>
      </c>
      <c r="N43" s="18"/>
      <c r="O43" s="16">
        <v>20000</v>
      </c>
      <c r="P43" s="18"/>
      <c r="Q43" s="16">
        <v>7000</v>
      </c>
    </row>
    <row r="44" spans="1:17" s="6" customFormat="1">
      <c r="A44" s="20" t="s">
        <v>183</v>
      </c>
      <c r="B44" s="4"/>
      <c r="C44" s="16"/>
      <c r="D44" s="16"/>
      <c r="E44" s="16"/>
      <c r="F44" s="16"/>
      <c r="G44" s="16"/>
      <c r="H44" s="16"/>
      <c r="I44" s="16"/>
      <c r="J44" s="16"/>
      <c r="K44" s="18"/>
      <c r="L44" s="16">
        <f>150*12</f>
        <v>1800</v>
      </c>
      <c r="M44" s="16">
        <f>150*12</f>
        <v>1800</v>
      </c>
      <c r="N44" s="18"/>
      <c r="O44" s="16">
        <v>3000</v>
      </c>
      <c r="P44" s="18"/>
      <c r="Q44" s="16">
        <v>3500</v>
      </c>
    </row>
    <row r="45" spans="1:17" s="6" customFormat="1">
      <c r="A45" s="20" t="s">
        <v>184</v>
      </c>
      <c r="B45" s="4"/>
      <c r="C45" s="16"/>
      <c r="D45" s="16"/>
      <c r="E45" s="16"/>
      <c r="F45" s="16"/>
      <c r="G45" s="16"/>
      <c r="H45" s="16"/>
      <c r="I45" s="16"/>
      <c r="J45" s="16"/>
      <c r="K45" s="18"/>
      <c r="L45" s="16">
        <v>200</v>
      </c>
      <c r="M45" s="16"/>
      <c r="N45" s="18"/>
      <c r="O45" s="18"/>
      <c r="P45" s="18"/>
      <c r="Q45" s="18"/>
    </row>
    <row r="46" spans="1:17" s="6" customFormat="1">
      <c r="A46" s="20" t="s">
        <v>185</v>
      </c>
      <c r="B46" s="4"/>
      <c r="C46" s="16"/>
      <c r="D46" s="16"/>
      <c r="E46" s="16"/>
      <c r="F46" s="16"/>
      <c r="G46" s="16">
        <v>25</v>
      </c>
      <c r="H46" s="16"/>
      <c r="I46" s="16"/>
      <c r="J46" s="16"/>
      <c r="K46" s="18"/>
      <c r="L46" s="16">
        <v>25</v>
      </c>
      <c r="M46" s="16">
        <v>500</v>
      </c>
      <c r="N46" s="18"/>
      <c r="O46" s="18"/>
      <c r="P46" s="18"/>
      <c r="Q46" s="18"/>
    </row>
    <row r="47" spans="1:17" s="6" customFormat="1">
      <c r="A47" s="20" t="s">
        <v>92</v>
      </c>
      <c r="B47" s="4"/>
      <c r="C47" s="18"/>
      <c r="D47" s="16"/>
      <c r="E47" s="16"/>
      <c r="F47" s="16"/>
      <c r="G47" s="16"/>
      <c r="H47" s="16"/>
      <c r="I47" s="16"/>
      <c r="J47" s="16"/>
      <c r="K47" s="18"/>
      <c r="L47" s="16"/>
      <c r="M47" s="18"/>
      <c r="N47" s="18"/>
      <c r="O47" s="18"/>
      <c r="P47" s="18"/>
      <c r="Q47" s="18"/>
    </row>
    <row r="48" spans="1:17" s="6" customFormat="1">
      <c r="A48" s="21" t="s">
        <v>93</v>
      </c>
      <c r="B48" s="5"/>
      <c r="C48" s="16"/>
      <c r="D48" s="16"/>
      <c r="E48" s="16"/>
      <c r="F48" s="16"/>
      <c r="G48" s="16">
        <v>30000</v>
      </c>
      <c r="H48" s="16"/>
      <c r="I48" s="16"/>
      <c r="J48" s="16"/>
      <c r="K48" s="18"/>
      <c r="L48" s="18"/>
      <c r="M48" s="16">
        <v>50000</v>
      </c>
      <c r="N48" s="18"/>
      <c r="O48" s="18"/>
      <c r="P48" s="18"/>
      <c r="Q48" s="18"/>
    </row>
    <row r="49" spans="1:17" s="6" customFormat="1">
      <c r="A49" s="21" t="s">
        <v>186</v>
      </c>
      <c r="B49" s="5"/>
      <c r="C49" s="16"/>
      <c r="D49" s="16"/>
      <c r="E49" s="16"/>
      <c r="F49" s="16"/>
      <c r="G49" s="16">
        <v>26000</v>
      </c>
      <c r="H49" s="16"/>
      <c r="I49" s="16"/>
      <c r="J49" s="16"/>
      <c r="K49" s="18"/>
      <c r="L49" s="16">
        <v>26000</v>
      </c>
      <c r="M49" s="16">
        <v>26000</v>
      </c>
      <c r="N49" s="18"/>
      <c r="O49" s="16">
        <v>50000</v>
      </c>
      <c r="P49" s="18"/>
      <c r="Q49" s="16">
        <v>50000</v>
      </c>
    </row>
    <row r="50" spans="1:17" s="6" customFormat="1">
      <c r="A50" s="21" t="s">
        <v>187</v>
      </c>
      <c r="B50" s="5"/>
      <c r="C50" s="16"/>
      <c r="D50" s="16"/>
      <c r="E50" s="16"/>
      <c r="F50" s="16"/>
      <c r="G50" s="16">
        <f>485*10</f>
        <v>4850</v>
      </c>
      <c r="H50" s="16"/>
      <c r="I50" s="16"/>
      <c r="J50" s="16"/>
      <c r="K50" s="18"/>
      <c r="L50" s="16">
        <v>6000</v>
      </c>
      <c r="M50" s="16">
        <v>10000</v>
      </c>
      <c r="N50" s="18"/>
      <c r="O50" s="16">
        <v>10000</v>
      </c>
      <c r="P50" s="18"/>
      <c r="Q50" s="16">
        <v>10000</v>
      </c>
    </row>
    <row r="51" spans="1:17" s="6" customFormat="1">
      <c r="A51" s="20" t="s">
        <v>197</v>
      </c>
      <c r="B51" s="4"/>
      <c r="C51" s="16"/>
      <c r="D51" s="16"/>
      <c r="E51" s="16"/>
      <c r="F51" s="16"/>
      <c r="G51" s="16"/>
      <c r="H51" s="16"/>
      <c r="I51" s="16"/>
      <c r="J51" s="16"/>
      <c r="K51" s="18"/>
      <c r="L51" s="18"/>
      <c r="M51" s="18"/>
      <c r="N51" s="18"/>
      <c r="O51" s="18"/>
      <c r="P51" s="18"/>
      <c r="Q51" s="18"/>
    </row>
    <row r="52" spans="1:17" s="6" customFormat="1">
      <c r="A52" s="21" t="s">
        <v>198</v>
      </c>
      <c r="B52" s="5"/>
      <c r="C52" s="16"/>
      <c r="D52" s="16"/>
      <c r="E52" s="16"/>
      <c r="F52" s="16"/>
      <c r="G52" s="16">
        <v>6000</v>
      </c>
      <c r="H52" s="16"/>
      <c r="I52" s="16"/>
      <c r="J52" s="16"/>
      <c r="K52" s="18"/>
      <c r="L52" s="16">
        <v>20000</v>
      </c>
      <c r="M52" s="16">
        <v>30000</v>
      </c>
      <c r="N52" s="18"/>
      <c r="O52" s="16">
        <v>40000</v>
      </c>
      <c r="P52" s="18"/>
      <c r="Q52" s="16">
        <v>30000</v>
      </c>
    </row>
    <row r="53" spans="1:17" s="6" customFormat="1">
      <c r="A53" s="21" t="s">
        <v>199</v>
      </c>
      <c r="B53" s="5"/>
      <c r="C53" s="16"/>
      <c r="D53" s="16"/>
      <c r="E53" s="16"/>
      <c r="F53" s="16"/>
      <c r="G53" s="16">
        <v>30000</v>
      </c>
      <c r="H53" s="16"/>
      <c r="I53" s="16"/>
      <c r="J53" s="16"/>
      <c r="K53" s="18"/>
      <c r="L53" s="18"/>
      <c r="M53" s="18"/>
      <c r="N53" s="18"/>
      <c r="O53" s="18"/>
      <c r="P53" s="18"/>
      <c r="Q53" s="18"/>
    </row>
    <row r="54" spans="1:17" s="6" customFormat="1">
      <c r="A54" s="21" t="s">
        <v>200</v>
      </c>
      <c r="B54" s="5"/>
      <c r="C54" s="16"/>
      <c r="D54" s="16"/>
      <c r="E54" s="16"/>
      <c r="F54" s="16"/>
      <c r="G54" s="16"/>
      <c r="H54" s="16"/>
      <c r="I54" s="16"/>
      <c r="J54" s="16"/>
      <c r="K54" s="18"/>
      <c r="L54" s="18"/>
      <c r="M54" s="18"/>
      <c r="N54" s="18"/>
      <c r="O54" s="18"/>
      <c r="P54" s="18"/>
      <c r="Q54" s="18"/>
    </row>
    <row r="55" spans="1:17" s="6" customFormat="1">
      <c r="A55" s="20" t="s">
        <v>3</v>
      </c>
      <c r="B55" s="4"/>
      <c r="C55" s="16"/>
      <c r="D55" s="16"/>
      <c r="E55" s="16"/>
      <c r="F55" s="16"/>
      <c r="G55" s="16">
        <f>SUM(G41:G54)</f>
        <v>97967</v>
      </c>
      <c r="H55" s="16">
        <f t="shared" ref="H55:Q55" si="2">SUM(H41:H54)</f>
        <v>0</v>
      </c>
      <c r="I55" s="16">
        <f t="shared" si="2"/>
        <v>0</v>
      </c>
      <c r="J55" s="16">
        <f t="shared" si="2"/>
        <v>0</v>
      </c>
      <c r="K55" s="16">
        <f t="shared" si="2"/>
        <v>0</v>
      </c>
      <c r="L55" s="16">
        <f t="shared" si="2"/>
        <v>62261</v>
      </c>
      <c r="M55" s="16">
        <f t="shared" si="2"/>
        <v>135436</v>
      </c>
      <c r="N55" s="16">
        <f t="shared" si="2"/>
        <v>0</v>
      </c>
      <c r="O55" s="16">
        <f t="shared" si="2"/>
        <v>134692</v>
      </c>
      <c r="P55" s="16">
        <f t="shared" si="2"/>
        <v>0</v>
      </c>
      <c r="Q55" s="16">
        <f t="shared" si="2"/>
        <v>115900</v>
      </c>
    </row>
    <row r="56" spans="1:17" s="6" customFormat="1">
      <c r="A56" s="19" t="s">
        <v>169</v>
      </c>
      <c r="B56" s="3"/>
      <c r="C56" s="16"/>
      <c r="D56" s="16"/>
      <c r="E56" s="16"/>
      <c r="F56" s="16"/>
      <c r="G56" s="16"/>
      <c r="H56" s="16"/>
      <c r="I56" s="16"/>
      <c r="J56" s="16"/>
      <c r="K56" s="18"/>
      <c r="L56" s="18"/>
      <c r="M56" s="18"/>
      <c r="N56" s="18"/>
      <c r="O56" s="18"/>
      <c r="P56" s="18"/>
      <c r="Q56" s="18"/>
    </row>
    <row r="57" spans="1:17" s="6" customFormat="1">
      <c r="A57" s="20" t="s">
        <v>94</v>
      </c>
      <c r="B57" s="4"/>
      <c r="C57" s="16"/>
      <c r="D57" s="16"/>
      <c r="E57" s="16"/>
      <c r="F57" s="16"/>
      <c r="G57" s="16"/>
      <c r="H57" s="18"/>
      <c r="I57" s="16"/>
      <c r="J57" s="16"/>
      <c r="K57" s="18"/>
      <c r="L57" s="18"/>
      <c r="M57" s="18"/>
      <c r="N57" s="18"/>
      <c r="O57" s="17">
        <v>30000</v>
      </c>
      <c r="P57" s="18"/>
      <c r="Q57" s="18"/>
    </row>
    <row r="58" spans="1:17" s="6" customFormat="1">
      <c r="A58" s="20" t="s">
        <v>95</v>
      </c>
      <c r="B58" s="4"/>
      <c r="C58" s="16"/>
      <c r="D58" s="16"/>
      <c r="E58" s="16"/>
      <c r="F58" s="16"/>
      <c r="G58" s="16"/>
      <c r="H58" s="18"/>
      <c r="I58" s="16"/>
      <c r="J58" s="16"/>
      <c r="K58" s="18"/>
      <c r="L58" s="18"/>
      <c r="M58" s="18"/>
      <c r="N58" s="18"/>
      <c r="O58" s="17">
        <v>100000</v>
      </c>
      <c r="P58" s="18"/>
      <c r="Q58" s="18"/>
    </row>
    <row r="59" spans="1:17" s="6" customFormat="1">
      <c r="A59" s="20" t="s">
        <v>96</v>
      </c>
      <c r="B59" s="4"/>
      <c r="C59" s="16"/>
      <c r="D59" s="16"/>
      <c r="E59" s="16"/>
      <c r="F59" s="16"/>
      <c r="G59" s="16"/>
      <c r="H59" s="18"/>
      <c r="I59" s="16"/>
      <c r="J59" s="16"/>
      <c r="K59" s="18"/>
      <c r="L59" s="18"/>
      <c r="M59" s="18"/>
      <c r="N59" s="18"/>
      <c r="O59" s="17">
        <v>50000</v>
      </c>
      <c r="P59" s="18"/>
      <c r="Q59" s="18"/>
    </row>
    <row r="60" spans="1:17" s="6" customFormat="1">
      <c r="A60" s="20" t="s">
        <v>97</v>
      </c>
      <c r="B60" s="4"/>
      <c r="C60" s="16"/>
      <c r="D60" s="16"/>
      <c r="E60" s="16"/>
      <c r="F60" s="16"/>
      <c r="G60" s="17">
        <v>2000</v>
      </c>
      <c r="H60" s="18"/>
      <c r="I60" s="16"/>
      <c r="J60" s="16"/>
      <c r="K60" s="18"/>
      <c r="L60" s="18"/>
      <c r="M60" s="18"/>
      <c r="N60" s="18"/>
      <c r="O60" s="17"/>
      <c r="P60" s="18"/>
      <c r="Q60" s="18"/>
    </row>
    <row r="61" spans="1:17" s="6" customFormat="1">
      <c r="A61" s="20" t="s">
        <v>98</v>
      </c>
      <c r="B61" s="4"/>
      <c r="C61" s="16"/>
      <c r="D61" s="16"/>
      <c r="E61" s="16"/>
      <c r="F61" s="16"/>
      <c r="G61" s="17">
        <v>1000</v>
      </c>
      <c r="H61" s="18"/>
      <c r="I61" s="16"/>
      <c r="J61" s="16"/>
      <c r="K61" s="18"/>
      <c r="L61" s="18"/>
      <c r="M61" s="18"/>
      <c r="N61" s="18"/>
      <c r="O61" s="17">
        <v>5000</v>
      </c>
      <c r="P61" s="18"/>
      <c r="Q61" s="18"/>
    </row>
    <row r="62" spans="1:17" s="6" customFormat="1">
      <c r="A62" s="20" t="s">
        <v>4</v>
      </c>
      <c r="B62" s="4"/>
      <c r="C62" s="16"/>
      <c r="D62" s="16"/>
      <c r="E62" s="16"/>
      <c r="F62" s="16"/>
      <c r="G62" s="16">
        <f>SUM(G57:G61)</f>
        <v>3000</v>
      </c>
      <c r="H62" s="16">
        <f t="shared" ref="H62:Q62" si="3">SUM(H57:H61)</f>
        <v>0</v>
      </c>
      <c r="I62" s="16">
        <f t="shared" si="3"/>
        <v>0</v>
      </c>
      <c r="J62" s="16">
        <f t="shared" si="3"/>
        <v>0</v>
      </c>
      <c r="K62" s="16">
        <f t="shared" si="3"/>
        <v>0</v>
      </c>
      <c r="L62" s="16">
        <f t="shared" si="3"/>
        <v>0</v>
      </c>
      <c r="M62" s="16">
        <f t="shared" si="3"/>
        <v>0</v>
      </c>
      <c r="N62" s="16">
        <f t="shared" si="3"/>
        <v>0</v>
      </c>
      <c r="O62" s="16">
        <f t="shared" si="3"/>
        <v>185000</v>
      </c>
      <c r="P62" s="16">
        <f t="shared" si="3"/>
        <v>0</v>
      </c>
      <c r="Q62" s="16">
        <f t="shared" si="3"/>
        <v>0</v>
      </c>
    </row>
    <row r="63" spans="1:17" s="6" customFormat="1">
      <c r="A63" s="19" t="s">
        <v>170</v>
      </c>
      <c r="B63" s="3"/>
      <c r="C63" s="16"/>
      <c r="D63" s="16"/>
      <c r="E63" s="16"/>
      <c r="F63" s="16"/>
      <c r="G63" s="16"/>
      <c r="H63" s="16"/>
      <c r="I63" s="16"/>
      <c r="J63" s="16"/>
      <c r="K63" s="18"/>
      <c r="L63" s="18"/>
      <c r="M63" s="18"/>
      <c r="N63" s="18"/>
      <c r="O63" s="18"/>
      <c r="P63" s="18"/>
      <c r="Q63" s="18"/>
    </row>
    <row r="64" spans="1:17" s="6" customFormat="1">
      <c r="A64" s="20" t="s">
        <v>180</v>
      </c>
      <c r="B64" s="4"/>
      <c r="C64" s="16"/>
      <c r="D64" s="16"/>
      <c r="E64" s="16"/>
      <c r="F64" s="16"/>
      <c r="G64" s="16">
        <v>6000</v>
      </c>
      <c r="H64" s="16"/>
      <c r="I64" s="16"/>
      <c r="J64" s="16"/>
      <c r="K64" s="18"/>
      <c r="L64" s="16">
        <v>12000</v>
      </c>
      <c r="M64" s="16">
        <f>1000*12</f>
        <v>12000</v>
      </c>
      <c r="N64" s="18"/>
      <c r="O64" s="16">
        <f>1000*12</f>
        <v>12000</v>
      </c>
      <c r="P64" s="18"/>
      <c r="Q64" s="16">
        <f>1000*12</f>
        <v>12000</v>
      </c>
    </row>
    <row r="65" spans="1:17" s="6" customFormat="1">
      <c r="A65" s="20" t="s">
        <v>5</v>
      </c>
      <c r="B65" s="4"/>
      <c r="C65" s="16"/>
      <c r="D65" s="16"/>
      <c r="E65" s="16"/>
      <c r="F65" s="16"/>
      <c r="G65" s="16">
        <v>500</v>
      </c>
      <c r="H65" s="16"/>
      <c r="I65" s="16"/>
      <c r="J65" s="16"/>
      <c r="K65" s="18"/>
      <c r="L65" s="16">
        <v>500</v>
      </c>
      <c r="M65" s="16">
        <v>500</v>
      </c>
      <c r="N65" s="18"/>
      <c r="O65" s="16">
        <v>500</v>
      </c>
      <c r="P65" s="18"/>
      <c r="Q65" s="16">
        <v>500</v>
      </c>
    </row>
    <row r="66" spans="1:17" s="6" customFormat="1">
      <c r="A66" s="20" t="s">
        <v>201</v>
      </c>
      <c r="B66" s="4"/>
      <c r="C66" s="16"/>
      <c r="D66" s="16"/>
      <c r="E66" s="16"/>
      <c r="F66" s="16"/>
      <c r="G66" s="16">
        <v>1000</v>
      </c>
      <c r="H66" s="16"/>
      <c r="I66" s="16"/>
      <c r="J66" s="16"/>
      <c r="K66" s="18"/>
      <c r="L66" s="16">
        <v>5000</v>
      </c>
      <c r="M66" s="16">
        <v>5000</v>
      </c>
      <c r="N66" s="18"/>
      <c r="O66" s="16">
        <v>5000</v>
      </c>
      <c r="P66" s="18"/>
      <c r="Q66" s="16">
        <v>5000</v>
      </c>
    </row>
    <row r="67" spans="1:17" s="6" customFormat="1">
      <c r="A67" s="20" t="s">
        <v>202</v>
      </c>
      <c r="B67" s="4"/>
      <c r="C67" s="16"/>
      <c r="D67" s="16"/>
      <c r="E67" s="16"/>
      <c r="F67" s="16"/>
      <c r="G67" s="16"/>
      <c r="H67" s="16"/>
      <c r="I67" s="16"/>
      <c r="J67" s="16"/>
      <c r="K67" s="18"/>
      <c r="L67" s="16">
        <v>14000</v>
      </c>
      <c r="M67" s="16">
        <v>14000</v>
      </c>
      <c r="N67" s="18"/>
      <c r="O67" s="16">
        <v>14000</v>
      </c>
      <c r="P67" s="18"/>
      <c r="Q67" s="16">
        <v>14000</v>
      </c>
    </row>
    <row r="68" spans="1:17" s="6" customFormat="1">
      <c r="A68" s="20" t="s">
        <v>99</v>
      </c>
      <c r="B68" s="4"/>
      <c r="C68" s="16"/>
      <c r="D68" s="16"/>
      <c r="E68" s="16"/>
      <c r="F68" s="16"/>
      <c r="G68" s="16"/>
      <c r="H68" s="16"/>
      <c r="I68" s="16"/>
      <c r="J68" s="16"/>
      <c r="K68" s="18"/>
      <c r="L68" s="18"/>
      <c r="M68" s="18"/>
      <c r="N68" s="18"/>
      <c r="O68" s="16"/>
      <c r="P68" s="18"/>
      <c r="Q68" s="18"/>
    </row>
    <row r="69" spans="1:17" s="6" customFormat="1">
      <c r="A69" s="20" t="s">
        <v>203</v>
      </c>
      <c r="B69" s="4"/>
      <c r="C69" s="16"/>
      <c r="D69" s="16"/>
      <c r="E69" s="16"/>
      <c r="F69" s="16"/>
      <c r="G69" s="16">
        <v>300</v>
      </c>
      <c r="H69" s="16"/>
      <c r="I69" s="16"/>
      <c r="J69" s="16"/>
      <c r="K69" s="18"/>
      <c r="L69" s="16">
        <v>600</v>
      </c>
      <c r="M69" s="16">
        <v>600</v>
      </c>
      <c r="N69" s="18"/>
      <c r="O69" s="16">
        <v>600</v>
      </c>
      <c r="P69" s="18"/>
      <c r="Q69" s="16">
        <v>600</v>
      </c>
    </row>
    <row r="70" spans="1:17" s="6" customFormat="1">
      <c r="A70" s="20" t="s">
        <v>6</v>
      </c>
      <c r="B70" s="4"/>
      <c r="C70" s="16"/>
      <c r="D70" s="16"/>
      <c r="E70" s="16"/>
      <c r="F70" s="16"/>
      <c r="G70" s="16">
        <f>SUM(G64:G69)</f>
        <v>7800</v>
      </c>
      <c r="H70" s="16">
        <f t="shared" ref="H70:Q70" si="4">SUM(H64:H69)</f>
        <v>0</v>
      </c>
      <c r="I70" s="16">
        <f t="shared" si="4"/>
        <v>0</v>
      </c>
      <c r="J70" s="16">
        <f t="shared" si="4"/>
        <v>0</v>
      </c>
      <c r="K70" s="16">
        <f t="shared" si="4"/>
        <v>0</v>
      </c>
      <c r="L70" s="16">
        <f t="shared" si="4"/>
        <v>32100</v>
      </c>
      <c r="M70" s="16">
        <f t="shared" si="4"/>
        <v>32100</v>
      </c>
      <c r="N70" s="16">
        <f t="shared" si="4"/>
        <v>0</v>
      </c>
      <c r="O70" s="16">
        <f t="shared" si="4"/>
        <v>32100</v>
      </c>
      <c r="P70" s="16">
        <f t="shared" si="4"/>
        <v>0</v>
      </c>
      <c r="Q70" s="16">
        <f t="shared" si="4"/>
        <v>32100</v>
      </c>
    </row>
    <row r="71" spans="1:17" s="6" customFormat="1">
      <c r="A71" s="19" t="s">
        <v>171</v>
      </c>
      <c r="B71" s="3"/>
      <c r="C71" s="16"/>
      <c r="D71" s="16"/>
      <c r="E71" s="16"/>
      <c r="F71" s="16"/>
      <c r="G71" s="16"/>
      <c r="H71" s="16"/>
      <c r="I71" s="16"/>
      <c r="J71" s="16"/>
      <c r="K71" s="18"/>
      <c r="L71" s="18"/>
      <c r="M71" s="18"/>
      <c r="N71" s="18"/>
      <c r="O71" s="18"/>
      <c r="P71" s="18"/>
      <c r="Q71" s="18"/>
    </row>
    <row r="72" spans="1:17" s="6" customFormat="1">
      <c r="A72" s="20" t="s">
        <v>100</v>
      </c>
      <c r="B72" s="4"/>
      <c r="C72" s="18"/>
      <c r="D72" s="16"/>
      <c r="E72" s="16"/>
      <c r="F72" s="16"/>
      <c r="G72" s="16"/>
      <c r="H72" s="16"/>
      <c r="I72" s="16"/>
      <c r="J72" s="16"/>
      <c r="K72" s="18"/>
      <c r="L72" s="18"/>
      <c r="M72" s="18"/>
      <c r="N72" s="18"/>
      <c r="O72" s="18"/>
      <c r="P72" s="18"/>
      <c r="Q72" s="18"/>
    </row>
    <row r="73" spans="1:17" s="6" customFormat="1">
      <c r="A73" s="21" t="s">
        <v>101</v>
      </c>
      <c r="B73" s="5"/>
      <c r="C73" s="16"/>
      <c r="D73" s="16"/>
      <c r="E73" s="16"/>
      <c r="F73" s="16"/>
      <c r="G73" s="16">
        <v>15</v>
      </c>
      <c r="H73" s="16"/>
      <c r="I73" s="16"/>
      <c r="J73" s="16"/>
      <c r="K73" s="18"/>
      <c r="L73" s="16">
        <v>15</v>
      </c>
      <c r="M73" s="16">
        <v>30</v>
      </c>
      <c r="N73" s="18"/>
      <c r="O73" s="16">
        <v>30</v>
      </c>
      <c r="P73" s="18"/>
      <c r="Q73" s="16">
        <v>30</v>
      </c>
    </row>
    <row r="74" spans="1:17" s="6" customFormat="1">
      <c r="A74" s="21" t="s">
        <v>102</v>
      </c>
      <c r="B74" s="5"/>
      <c r="C74" s="16"/>
      <c r="D74" s="16"/>
      <c r="E74" s="16"/>
      <c r="F74" s="16"/>
      <c r="G74" s="16">
        <v>22</v>
      </c>
      <c r="H74" s="16"/>
      <c r="I74" s="16"/>
      <c r="J74" s="16"/>
      <c r="K74" s="18"/>
      <c r="L74" s="16">
        <v>64</v>
      </c>
      <c r="M74" s="16">
        <v>128</v>
      </c>
      <c r="N74" s="18"/>
      <c r="O74" s="16">
        <v>128</v>
      </c>
      <c r="P74" s="18"/>
      <c r="Q74" s="16">
        <v>128</v>
      </c>
    </row>
    <row r="75" spans="1:17" s="6" customFormat="1">
      <c r="A75" s="21" t="s">
        <v>103</v>
      </c>
      <c r="B75" s="5"/>
      <c r="C75" s="18"/>
      <c r="D75" s="16"/>
      <c r="E75" s="16"/>
      <c r="F75" s="16"/>
      <c r="G75" s="16"/>
      <c r="H75" s="16"/>
      <c r="I75" s="16"/>
      <c r="J75" s="16"/>
      <c r="K75" s="18"/>
      <c r="L75" s="18"/>
      <c r="M75" s="16">
        <v>2500</v>
      </c>
      <c r="N75" s="18"/>
      <c r="O75" s="16"/>
      <c r="P75" s="18"/>
      <c r="Q75" s="18"/>
    </row>
    <row r="76" spans="1:17" s="6" customFormat="1">
      <c r="A76" s="21" t="s">
        <v>104</v>
      </c>
      <c r="B76" s="5"/>
      <c r="C76" s="16"/>
      <c r="D76" s="16"/>
      <c r="E76" s="16"/>
      <c r="F76" s="16"/>
      <c r="G76" s="16">
        <v>600</v>
      </c>
      <c r="H76" s="16"/>
      <c r="I76" s="16"/>
      <c r="J76" s="16"/>
      <c r="K76" s="18"/>
      <c r="L76" s="16">
        <v>1200</v>
      </c>
      <c r="M76" s="16">
        <v>2400</v>
      </c>
      <c r="N76" s="18"/>
      <c r="O76" s="16">
        <v>1200</v>
      </c>
      <c r="P76" s="18"/>
      <c r="Q76" s="16">
        <v>1200</v>
      </c>
    </row>
    <row r="77" spans="1:17" s="6" customFormat="1">
      <c r="A77" s="20" t="s">
        <v>204</v>
      </c>
      <c r="B77" s="4"/>
      <c r="C77" s="18"/>
      <c r="D77" s="16"/>
      <c r="E77" s="16"/>
      <c r="F77" s="16"/>
      <c r="G77" s="16"/>
      <c r="H77" s="16"/>
      <c r="I77" s="16"/>
      <c r="J77" s="16"/>
      <c r="K77" s="18"/>
      <c r="L77" s="18"/>
      <c r="M77" s="18"/>
      <c r="N77" s="18"/>
      <c r="O77" s="18"/>
      <c r="P77" s="18"/>
      <c r="Q77" s="18"/>
    </row>
    <row r="78" spans="1:17">
      <c r="A78" s="21" t="s">
        <v>105</v>
      </c>
      <c r="B78" s="5"/>
      <c r="C78" s="16"/>
      <c r="D78" s="16"/>
      <c r="E78" s="16"/>
      <c r="F78" s="16"/>
      <c r="G78" s="16">
        <v>900</v>
      </c>
      <c r="H78" s="16"/>
      <c r="I78" s="16"/>
      <c r="J78" s="16"/>
      <c r="K78" s="18"/>
      <c r="L78" s="18"/>
      <c r="M78" s="18"/>
      <c r="N78" s="18"/>
      <c r="O78" s="18"/>
      <c r="P78" s="18"/>
      <c r="Q78" s="18"/>
    </row>
    <row r="79" spans="1:17">
      <c r="A79" s="21" t="s">
        <v>106</v>
      </c>
      <c r="B79" s="5"/>
      <c r="C79" s="16"/>
      <c r="D79" s="16"/>
      <c r="E79" s="16"/>
      <c r="F79" s="16"/>
      <c r="G79" s="16">
        <f>3*150</f>
        <v>450</v>
      </c>
      <c r="H79" s="16"/>
      <c r="I79" s="16"/>
      <c r="J79" s="16"/>
      <c r="K79" s="18"/>
      <c r="L79" s="16">
        <f>L159*25</f>
        <v>600</v>
      </c>
      <c r="M79" s="16">
        <f>M159*25</f>
        <v>1225</v>
      </c>
      <c r="N79" s="18"/>
      <c r="O79" s="16">
        <f>O159*25</f>
        <v>3000</v>
      </c>
      <c r="P79" s="18"/>
      <c r="Q79" s="16">
        <f>Q159*25</f>
        <v>5575</v>
      </c>
    </row>
    <row r="80" spans="1:17">
      <c r="A80" s="21" t="s">
        <v>107</v>
      </c>
      <c r="B80" s="5"/>
      <c r="C80" s="16"/>
      <c r="D80" s="16"/>
      <c r="E80" s="16"/>
      <c r="F80" s="16"/>
      <c r="G80" s="16"/>
      <c r="H80" s="16"/>
      <c r="I80" s="16"/>
      <c r="J80" s="16"/>
      <c r="K80" s="18"/>
      <c r="L80" s="18"/>
      <c r="M80" s="18"/>
      <c r="N80" s="18"/>
      <c r="O80" s="18"/>
      <c r="P80" s="18"/>
      <c r="Q80" s="16">
        <v>10000</v>
      </c>
    </row>
    <row r="81" spans="1:17">
      <c r="A81" s="21" t="s">
        <v>108</v>
      </c>
      <c r="B81" s="5"/>
      <c r="C81" s="16"/>
      <c r="D81" s="16"/>
      <c r="E81" s="16"/>
      <c r="F81" s="16"/>
      <c r="G81" s="16"/>
      <c r="H81" s="16"/>
      <c r="I81" s="16"/>
      <c r="J81" s="16"/>
      <c r="K81" s="18"/>
      <c r="L81" s="16">
        <v>2500</v>
      </c>
      <c r="M81" s="16">
        <v>2500</v>
      </c>
      <c r="N81" s="18"/>
      <c r="O81" s="16">
        <v>2500</v>
      </c>
      <c r="P81" s="18"/>
      <c r="Q81" s="16">
        <v>5000</v>
      </c>
    </row>
    <row r="82" spans="1:17">
      <c r="A82" s="21" t="s">
        <v>176</v>
      </c>
      <c r="B82" s="5"/>
      <c r="C82" s="16"/>
      <c r="D82" s="16"/>
      <c r="E82" s="16"/>
      <c r="F82" s="16"/>
      <c r="G82" s="16"/>
      <c r="H82" s="16"/>
      <c r="I82" s="16"/>
      <c r="J82" s="16"/>
      <c r="K82" s="18"/>
      <c r="L82" s="16">
        <v>2500</v>
      </c>
      <c r="M82" s="16">
        <v>2500</v>
      </c>
      <c r="N82" s="18"/>
      <c r="O82" s="16">
        <v>2500</v>
      </c>
      <c r="P82" s="18"/>
      <c r="Q82" s="16">
        <v>4000</v>
      </c>
    </row>
    <row r="83" spans="1:17">
      <c r="A83" s="21" t="s">
        <v>109</v>
      </c>
      <c r="B83" s="5"/>
      <c r="C83" s="16"/>
      <c r="D83" s="16"/>
      <c r="E83" s="16"/>
      <c r="F83" s="16"/>
      <c r="G83" s="16"/>
      <c r="H83" s="16"/>
      <c r="I83" s="16"/>
      <c r="J83" s="16"/>
      <c r="K83" s="18"/>
      <c r="L83" s="16">
        <v>2500</v>
      </c>
      <c r="M83" s="16">
        <v>2500</v>
      </c>
      <c r="N83" s="18"/>
      <c r="O83" s="16">
        <v>2500</v>
      </c>
      <c r="P83" s="18"/>
      <c r="Q83" s="16">
        <v>3000</v>
      </c>
    </row>
    <row r="84" spans="1:17">
      <c r="A84" s="21" t="s">
        <v>110</v>
      </c>
      <c r="B84" s="5"/>
      <c r="C84" s="16"/>
      <c r="D84" s="16"/>
      <c r="E84" s="16"/>
      <c r="F84" s="16"/>
      <c r="G84" s="16"/>
      <c r="H84" s="16"/>
      <c r="I84" s="16"/>
      <c r="J84" s="16"/>
      <c r="K84" s="18"/>
      <c r="L84" s="18"/>
      <c r="M84" s="16">
        <v>3000</v>
      </c>
      <c r="N84" s="18"/>
      <c r="O84" s="16">
        <v>3000</v>
      </c>
      <c r="P84" s="18"/>
      <c r="Q84" s="16">
        <v>3000</v>
      </c>
    </row>
    <row r="85" spans="1:17">
      <c r="A85" s="20" t="s">
        <v>205</v>
      </c>
      <c r="B85" s="4"/>
      <c r="C85" s="18"/>
      <c r="D85" s="16"/>
      <c r="E85" s="16"/>
      <c r="F85" s="16"/>
      <c r="G85" s="16"/>
      <c r="H85" s="16"/>
      <c r="I85" s="16"/>
      <c r="J85" s="16"/>
      <c r="K85" s="18"/>
      <c r="L85" s="18"/>
      <c r="M85" s="18"/>
      <c r="N85" s="18"/>
      <c r="O85" s="18"/>
      <c r="P85" s="18"/>
      <c r="Q85" s="18"/>
    </row>
    <row r="86" spans="1:17">
      <c r="A86" s="21" t="s">
        <v>111</v>
      </c>
      <c r="B86" s="5"/>
      <c r="C86" s="16"/>
      <c r="D86" s="16"/>
      <c r="E86" s="16"/>
      <c r="F86" s="16"/>
      <c r="G86" s="16">
        <v>5000</v>
      </c>
      <c r="H86" s="16"/>
      <c r="I86" s="16"/>
      <c r="J86" s="16"/>
      <c r="K86" s="18"/>
      <c r="L86" s="16">
        <v>5000</v>
      </c>
      <c r="M86" s="16">
        <v>5000</v>
      </c>
      <c r="N86" s="18"/>
      <c r="O86" s="16">
        <v>5000</v>
      </c>
      <c r="P86" s="18"/>
      <c r="Q86" s="16">
        <v>5000</v>
      </c>
    </row>
    <row r="87" spans="1:17">
      <c r="A87" s="21" t="s">
        <v>110</v>
      </c>
      <c r="B87" s="5"/>
      <c r="C87" s="18"/>
      <c r="D87" s="16"/>
      <c r="E87" s="16"/>
      <c r="F87" s="16"/>
      <c r="G87" s="16"/>
      <c r="H87" s="18"/>
      <c r="I87" s="16"/>
      <c r="J87" s="16"/>
      <c r="K87" s="18"/>
      <c r="L87" s="16">
        <v>300</v>
      </c>
      <c r="M87" s="16">
        <v>300</v>
      </c>
      <c r="N87" s="18"/>
      <c r="O87" s="16">
        <v>300</v>
      </c>
      <c r="P87" s="18"/>
      <c r="Q87" s="16">
        <v>900</v>
      </c>
    </row>
    <row r="88" spans="1:17">
      <c r="A88" s="21" t="s">
        <v>112</v>
      </c>
      <c r="B88" s="5"/>
      <c r="C88" s="16"/>
      <c r="D88" s="16"/>
      <c r="E88" s="16"/>
      <c r="F88" s="16"/>
      <c r="G88" s="17">
        <v>2100</v>
      </c>
      <c r="H88" s="16"/>
      <c r="I88" s="16"/>
      <c r="J88" s="16"/>
      <c r="K88" s="18"/>
      <c r="L88" s="18"/>
      <c r="M88" s="18"/>
      <c r="N88" s="18"/>
      <c r="O88" s="17">
        <v>2100</v>
      </c>
      <c r="P88" s="18"/>
      <c r="Q88" s="16"/>
    </row>
    <row r="89" spans="1:17">
      <c r="A89" s="21" t="s">
        <v>113</v>
      </c>
      <c r="B89" s="5"/>
      <c r="C89" s="16"/>
      <c r="D89" s="16"/>
      <c r="E89" s="16"/>
      <c r="F89" s="16"/>
      <c r="G89" s="16">
        <v>600</v>
      </c>
      <c r="H89" s="16"/>
      <c r="I89" s="16"/>
      <c r="J89" s="16"/>
      <c r="K89" s="18"/>
      <c r="L89" s="16">
        <v>600</v>
      </c>
      <c r="M89" s="16">
        <v>900</v>
      </c>
      <c r="N89" s="18"/>
      <c r="O89" s="16">
        <v>900</v>
      </c>
      <c r="P89" s="18"/>
      <c r="Q89" s="16">
        <v>900</v>
      </c>
    </row>
    <row r="90" spans="1:17">
      <c r="A90" s="20" t="s">
        <v>206</v>
      </c>
      <c r="B90" s="4"/>
      <c r="C90" s="16"/>
      <c r="D90" s="16"/>
      <c r="E90" s="16"/>
      <c r="F90" s="16"/>
      <c r="G90" s="16"/>
      <c r="H90" s="16"/>
      <c r="I90" s="16"/>
      <c r="J90" s="16"/>
      <c r="K90" s="18"/>
      <c r="L90" s="18"/>
      <c r="M90" s="18"/>
      <c r="N90" s="18"/>
      <c r="O90" s="18"/>
      <c r="P90" s="18"/>
      <c r="Q90" s="18"/>
    </row>
    <row r="91" spans="1:17">
      <c r="A91" s="21" t="s">
        <v>114</v>
      </c>
      <c r="B91" s="5"/>
      <c r="C91" s="16"/>
      <c r="D91" s="16"/>
      <c r="E91" s="16"/>
      <c r="F91" s="16"/>
      <c r="G91" s="16"/>
      <c r="H91" s="16"/>
      <c r="I91" s="16"/>
      <c r="J91" s="16"/>
      <c r="K91" s="18"/>
      <c r="L91" s="18"/>
      <c r="M91" s="18"/>
      <c r="N91" s="18"/>
      <c r="O91" s="18"/>
      <c r="P91" s="18"/>
      <c r="Q91" s="18"/>
    </row>
    <row r="92" spans="1:17">
      <c r="A92" s="21" t="s">
        <v>115</v>
      </c>
      <c r="B92" s="5"/>
      <c r="C92" s="16"/>
      <c r="D92" s="16"/>
      <c r="E92" s="16"/>
      <c r="F92" s="16"/>
      <c r="G92" s="16"/>
      <c r="H92" s="16"/>
      <c r="I92" s="16"/>
      <c r="J92" s="16"/>
      <c r="K92" s="18"/>
      <c r="L92" s="18"/>
      <c r="M92" s="18"/>
      <c r="N92" s="18"/>
      <c r="O92" s="18"/>
      <c r="P92" s="18"/>
      <c r="Q92" s="18"/>
    </row>
    <row r="93" spans="1:17">
      <c r="A93" s="20" t="s">
        <v>7</v>
      </c>
      <c r="B93" s="4"/>
      <c r="C93" s="16"/>
      <c r="D93" s="16"/>
      <c r="E93" s="16"/>
      <c r="F93" s="16"/>
      <c r="G93" s="16">
        <f>SUM(G72:G92)</f>
        <v>9687</v>
      </c>
      <c r="H93" s="16">
        <f t="shared" ref="H93:Q93" si="5">SUM(H72:H92)</f>
        <v>0</v>
      </c>
      <c r="I93" s="16">
        <f t="shared" si="5"/>
        <v>0</v>
      </c>
      <c r="J93" s="16">
        <f t="shared" si="5"/>
        <v>0</v>
      </c>
      <c r="K93" s="16">
        <f t="shared" si="5"/>
        <v>0</v>
      </c>
      <c r="L93" s="16">
        <f t="shared" si="5"/>
        <v>15279</v>
      </c>
      <c r="M93" s="16">
        <f t="shared" si="5"/>
        <v>22983</v>
      </c>
      <c r="N93" s="16">
        <f t="shared" si="5"/>
        <v>0</v>
      </c>
      <c r="O93" s="16">
        <f t="shared" si="5"/>
        <v>23158</v>
      </c>
      <c r="P93" s="16">
        <f t="shared" si="5"/>
        <v>0</v>
      </c>
      <c r="Q93" s="16">
        <f t="shared" si="5"/>
        <v>38733</v>
      </c>
    </row>
    <row r="94" spans="1:17">
      <c r="A94" s="19" t="s">
        <v>172</v>
      </c>
      <c r="B94" s="3"/>
      <c r="C94" s="16"/>
      <c r="D94" s="16"/>
      <c r="E94" s="16"/>
      <c r="F94" s="16"/>
      <c r="G94" s="16"/>
      <c r="H94" s="16"/>
      <c r="I94" s="16"/>
      <c r="J94" s="16"/>
      <c r="K94" s="18"/>
      <c r="L94" s="18"/>
      <c r="M94" s="18"/>
      <c r="N94" s="18"/>
      <c r="O94" s="18"/>
      <c r="P94" s="18"/>
      <c r="Q94" s="18"/>
    </row>
    <row r="95" spans="1:17">
      <c r="A95" s="20" t="s">
        <v>116</v>
      </c>
      <c r="B95" s="4"/>
      <c r="C95" s="16"/>
      <c r="D95" s="16"/>
      <c r="E95" s="16"/>
      <c r="F95" s="16"/>
      <c r="G95" s="16"/>
      <c r="H95" s="16"/>
      <c r="I95" s="16"/>
      <c r="J95" s="16"/>
      <c r="K95" s="18"/>
      <c r="L95" s="18"/>
      <c r="M95" s="18"/>
      <c r="N95" s="18"/>
      <c r="O95" s="18"/>
      <c r="P95" s="18"/>
      <c r="Q95" s="18"/>
    </row>
    <row r="96" spans="1:17">
      <c r="A96" s="20" t="s">
        <v>117</v>
      </c>
      <c r="B96" s="4"/>
      <c r="C96" s="16"/>
      <c r="D96" s="16"/>
      <c r="E96" s="16"/>
      <c r="F96" s="16"/>
      <c r="G96" s="16"/>
      <c r="H96" s="16"/>
      <c r="I96" s="16"/>
      <c r="J96" s="16"/>
      <c r="K96" s="18"/>
      <c r="L96" s="18"/>
      <c r="M96" s="18"/>
      <c r="N96" s="18"/>
      <c r="O96" s="18"/>
      <c r="P96" s="18"/>
      <c r="Q96" s="18"/>
    </row>
    <row r="97" spans="1:17">
      <c r="A97" s="20" t="s">
        <v>300</v>
      </c>
      <c r="B97" s="4"/>
      <c r="C97" s="16"/>
      <c r="D97" s="16"/>
      <c r="E97" s="16"/>
      <c r="F97" s="16"/>
      <c r="G97" s="16"/>
      <c r="H97" s="16"/>
      <c r="I97" s="16"/>
      <c r="J97" s="16"/>
      <c r="K97" s="18"/>
      <c r="L97" s="16">
        <v>3000</v>
      </c>
      <c r="M97" s="16">
        <v>6000</v>
      </c>
      <c r="N97" s="18"/>
      <c r="O97" s="16">
        <v>6000</v>
      </c>
      <c r="P97" s="18"/>
      <c r="Q97" s="16">
        <f>O97*4</f>
        <v>24000</v>
      </c>
    </row>
    <row r="98" spans="1:17">
      <c r="A98" s="20" t="s">
        <v>118</v>
      </c>
      <c r="B98" s="4"/>
      <c r="C98" s="16"/>
      <c r="D98" s="16"/>
      <c r="E98" s="16"/>
      <c r="F98" s="16"/>
      <c r="G98" s="16">
        <f>300*20</f>
        <v>6000</v>
      </c>
      <c r="H98" s="16"/>
      <c r="I98" s="16"/>
      <c r="J98" s="16"/>
      <c r="K98" s="18"/>
      <c r="L98" s="16">
        <f>(Revenue!L7/10)*20</f>
        <v>4000</v>
      </c>
      <c r="M98" s="16">
        <f>(Revenue!M7/10)*20</f>
        <v>20000</v>
      </c>
      <c r="N98" s="18"/>
      <c r="O98" s="16">
        <f>(Revenue!N7/10)*20</f>
        <v>60000</v>
      </c>
      <c r="P98" s="18"/>
      <c r="Q98" s="16">
        <v>700000</v>
      </c>
    </row>
    <row r="99" spans="1:17">
      <c r="A99" s="20" t="s">
        <v>8</v>
      </c>
      <c r="B99" s="4"/>
      <c r="C99" s="16"/>
      <c r="D99" s="16"/>
      <c r="E99" s="16"/>
      <c r="F99" s="16"/>
      <c r="G99" s="16">
        <f>SUM(G95:G98)</f>
        <v>6000</v>
      </c>
      <c r="H99" s="16">
        <f t="shared" ref="H99:Q99" si="6">SUM(H95:H98)</f>
        <v>0</v>
      </c>
      <c r="I99" s="16">
        <f t="shared" si="6"/>
        <v>0</v>
      </c>
      <c r="J99" s="16">
        <f t="shared" si="6"/>
        <v>0</v>
      </c>
      <c r="K99" s="16">
        <f t="shared" si="6"/>
        <v>0</v>
      </c>
      <c r="L99" s="16">
        <f t="shared" si="6"/>
        <v>7000</v>
      </c>
      <c r="M99" s="16">
        <f t="shared" si="6"/>
        <v>26000</v>
      </c>
      <c r="N99" s="16">
        <f t="shared" si="6"/>
        <v>0</v>
      </c>
      <c r="O99" s="16">
        <f t="shared" si="6"/>
        <v>66000</v>
      </c>
      <c r="P99" s="16">
        <f t="shared" si="6"/>
        <v>0</v>
      </c>
      <c r="Q99" s="16">
        <f t="shared" si="6"/>
        <v>724000</v>
      </c>
    </row>
    <row r="100" spans="1:17">
      <c r="A100" s="19" t="s">
        <v>173</v>
      </c>
      <c r="B100" s="3"/>
      <c r="C100" s="16"/>
      <c r="D100" s="16"/>
      <c r="E100" s="16"/>
      <c r="F100" s="16"/>
      <c r="G100" s="16"/>
      <c r="H100" s="16"/>
      <c r="I100" s="16"/>
      <c r="J100" s="16"/>
      <c r="K100" s="18"/>
      <c r="L100" s="18"/>
      <c r="M100" s="18"/>
      <c r="N100" s="18"/>
      <c r="O100" s="18"/>
      <c r="P100" s="18"/>
      <c r="Q100" s="18"/>
    </row>
    <row r="101" spans="1:17">
      <c r="A101" s="20" t="s">
        <v>207</v>
      </c>
      <c r="B101" s="4"/>
      <c r="C101" s="16"/>
      <c r="D101" s="16"/>
      <c r="E101" s="16"/>
      <c r="F101" s="16"/>
      <c r="G101" s="16">
        <v>100000</v>
      </c>
      <c r="H101" s="16"/>
      <c r="I101" s="16"/>
      <c r="J101" s="16"/>
      <c r="K101" s="18"/>
      <c r="L101" s="18"/>
      <c r="M101" s="16">
        <v>50000</v>
      </c>
      <c r="N101" s="18"/>
      <c r="O101" s="16">
        <v>3000</v>
      </c>
      <c r="P101" s="18"/>
      <c r="Q101" s="18"/>
    </row>
    <row r="102" spans="1:17">
      <c r="A102" s="20" t="s">
        <v>223</v>
      </c>
      <c r="B102" s="4"/>
      <c r="C102" s="16"/>
      <c r="D102" s="16"/>
      <c r="E102" s="16"/>
      <c r="F102" s="16"/>
      <c r="G102" s="16">
        <v>5000</v>
      </c>
      <c r="H102" s="16"/>
      <c r="I102" s="16"/>
      <c r="J102" s="16"/>
      <c r="K102" s="18"/>
      <c r="L102" s="16">
        <v>10000</v>
      </c>
      <c r="M102" s="18"/>
      <c r="N102" s="18"/>
      <c r="O102" s="16">
        <v>3000</v>
      </c>
      <c r="P102" s="18"/>
      <c r="Q102" s="18"/>
    </row>
    <row r="103" spans="1:17">
      <c r="A103" s="20" t="s">
        <v>224</v>
      </c>
      <c r="B103" s="4"/>
      <c r="C103" s="16"/>
      <c r="D103" s="16"/>
      <c r="E103" s="16"/>
      <c r="F103" s="16"/>
      <c r="G103" s="16"/>
      <c r="H103" s="16"/>
      <c r="I103" s="16"/>
      <c r="J103" s="16"/>
      <c r="K103" s="18"/>
      <c r="L103" s="16">
        <v>10000</v>
      </c>
      <c r="M103" s="18"/>
      <c r="N103" s="18"/>
      <c r="O103" s="16">
        <v>3000</v>
      </c>
      <c r="P103" s="18"/>
      <c r="Q103" s="18"/>
    </row>
    <row r="104" spans="1:17">
      <c r="A104" s="20" t="s">
        <v>225</v>
      </c>
      <c r="B104" s="4"/>
      <c r="C104" s="16"/>
      <c r="D104" s="16"/>
      <c r="E104" s="16"/>
      <c r="F104" s="16"/>
      <c r="G104" s="16"/>
      <c r="H104" s="16"/>
      <c r="I104" s="16"/>
      <c r="J104" s="16"/>
      <c r="K104" s="18"/>
      <c r="L104" s="16">
        <v>100000</v>
      </c>
      <c r="M104" s="18"/>
      <c r="N104" s="18"/>
      <c r="O104" s="16">
        <v>10000</v>
      </c>
      <c r="P104" s="18"/>
      <c r="Q104" s="18"/>
    </row>
    <row r="105" spans="1:17">
      <c r="A105" s="20" t="s">
        <v>9</v>
      </c>
      <c r="B105" s="4"/>
      <c r="C105" s="16"/>
      <c r="D105" s="16"/>
      <c r="E105" s="16"/>
      <c r="F105" s="16"/>
      <c r="G105" s="16">
        <f>SUM(G101:G104)</f>
        <v>105000</v>
      </c>
      <c r="H105" s="16">
        <f t="shared" ref="H105:Q105" si="7">SUM(H101:H104)</f>
        <v>0</v>
      </c>
      <c r="I105" s="16">
        <f t="shared" si="7"/>
        <v>0</v>
      </c>
      <c r="J105" s="16">
        <f t="shared" si="7"/>
        <v>0</v>
      </c>
      <c r="K105" s="16">
        <f t="shared" si="7"/>
        <v>0</v>
      </c>
      <c r="L105" s="16">
        <f t="shared" si="7"/>
        <v>120000</v>
      </c>
      <c r="M105" s="16">
        <f t="shared" si="7"/>
        <v>50000</v>
      </c>
      <c r="N105" s="16">
        <f t="shared" si="7"/>
        <v>0</v>
      </c>
      <c r="O105" s="16">
        <f t="shared" si="7"/>
        <v>19000</v>
      </c>
      <c r="P105" s="16">
        <f t="shared" si="7"/>
        <v>0</v>
      </c>
      <c r="Q105" s="16">
        <f t="shared" si="7"/>
        <v>0</v>
      </c>
    </row>
    <row r="106" spans="1:17">
      <c r="A106" s="19" t="s">
        <v>174</v>
      </c>
      <c r="B106" s="3"/>
      <c r="C106" s="16"/>
      <c r="D106" s="16"/>
      <c r="E106" s="16"/>
      <c r="F106" s="16"/>
      <c r="G106" s="16"/>
      <c r="H106" s="16"/>
      <c r="I106" s="16"/>
      <c r="J106" s="16"/>
      <c r="K106" s="18"/>
      <c r="L106" s="18"/>
      <c r="M106" s="18"/>
      <c r="N106" s="18"/>
      <c r="O106" s="18"/>
      <c r="P106" s="18"/>
      <c r="Q106" s="18"/>
    </row>
    <row r="107" spans="1:17">
      <c r="A107" s="20" t="s">
        <v>226</v>
      </c>
      <c r="B107" s="15"/>
      <c r="C107" s="16"/>
      <c r="D107" s="16"/>
      <c r="E107" s="16"/>
      <c r="F107" s="16"/>
      <c r="G107" s="16">
        <v>60000</v>
      </c>
      <c r="H107" s="16"/>
      <c r="I107" s="16"/>
      <c r="J107" s="16"/>
      <c r="K107" s="18"/>
      <c r="L107" s="16">
        <v>80000</v>
      </c>
      <c r="M107" s="16">
        <v>120000</v>
      </c>
      <c r="N107" s="18"/>
      <c r="O107" s="16">
        <v>120000</v>
      </c>
      <c r="P107" s="18"/>
      <c r="Q107" s="16">
        <v>180000</v>
      </c>
    </row>
    <row r="108" spans="1:17">
      <c r="A108" s="20" t="s">
        <v>227</v>
      </c>
      <c r="B108" s="15"/>
      <c r="C108" s="16"/>
      <c r="D108" s="16"/>
      <c r="E108" s="16"/>
      <c r="F108" s="16"/>
      <c r="G108" s="16">
        <v>60000</v>
      </c>
      <c r="H108" s="16"/>
      <c r="I108" s="16"/>
      <c r="J108" s="16"/>
      <c r="K108" s="18"/>
      <c r="L108" s="16">
        <v>80000</v>
      </c>
      <c r="M108" s="16">
        <v>110000</v>
      </c>
      <c r="N108" s="18"/>
      <c r="O108" s="16">
        <v>110000</v>
      </c>
      <c r="P108" s="18"/>
      <c r="Q108" s="16">
        <v>120000</v>
      </c>
    </row>
    <row r="109" spans="1:17">
      <c r="A109" s="20" t="s">
        <v>228</v>
      </c>
      <c r="B109" s="15"/>
      <c r="C109" s="16"/>
      <c r="D109" s="16"/>
      <c r="E109" s="16"/>
      <c r="F109" s="16"/>
      <c r="G109" s="16"/>
      <c r="H109" s="16"/>
      <c r="I109" s="16"/>
      <c r="J109" s="16"/>
      <c r="K109" s="18"/>
      <c r="L109" s="16"/>
      <c r="M109" s="16">
        <v>100000</v>
      </c>
      <c r="N109" s="18"/>
      <c r="O109" s="16">
        <v>100000</v>
      </c>
      <c r="P109" s="18"/>
      <c r="Q109" s="16">
        <v>110000</v>
      </c>
    </row>
    <row r="110" spans="1:17">
      <c r="A110" s="20" t="s">
        <v>229</v>
      </c>
      <c r="B110" s="15"/>
      <c r="C110" s="16"/>
      <c r="D110" s="16"/>
      <c r="E110" s="16"/>
      <c r="F110" s="16"/>
      <c r="G110" s="16"/>
      <c r="H110" s="16"/>
      <c r="I110" s="16"/>
      <c r="J110" s="16"/>
      <c r="K110" s="18"/>
      <c r="L110" s="16">
        <v>60000</v>
      </c>
      <c r="M110" s="16">
        <v>80000</v>
      </c>
      <c r="N110" s="18"/>
      <c r="O110" s="16">
        <v>80000</v>
      </c>
      <c r="P110" s="18"/>
      <c r="Q110" s="16">
        <v>100000</v>
      </c>
    </row>
    <row r="111" spans="1:17">
      <c r="A111" s="20" t="s">
        <v>230</v>
      </c>
      <c r="B111" s="15"/>
      <c r="C111" s="16"/>
      <c r="D111" s="16"/>
      <c r="E111" s="16"/>
      <c r="F111" s="16"/>
      <c r="G111" s="16"/>
      <c r="H111" s="16"/>
      <c r="I111" s="16"/>
      <c r="J111" s="16"/>
      <c r="K111" s="18"/>
      <c r="L111" s="16">
        <v>60000</v>
      </c>
      <c r="M111" s="16">
        <v>70000</v>
      </c>
      <c r="N111" s="18"/>
      <c r="O111" s="16">
        <v>80000</v>
      </c>
      <c r="P111" s="18"/>
      <c r="Q111" s="16">
        <v>120000</v>
      </c>
    </row>
    <row r="112" spans="1:17">
      <c r="A112" s="20" t="s">
        <v>231</v>
      </c>
      <c r="B112" s="15"/>
      <c r="C112" s="16"/>
      <c r="D112" s="16"/>
      <c r="E112" s="16"/>
      <c r="F112" s="16"/>
      <c r="G112" s="16"/>
      <c r="H112" s="16"/>
      <c r="I112" s="16"/>
      <c r="J112" s="16"/>
      <c r="K112" s="18"/>
      <c r="L112" s="16">
        <v>80000</v>
      </c>
      <c r="M112" s="16">
        <v>120000</v>
      </c>
      <c r="N112" s="18"/>
      <c r="O112" s="16">
        <v>120000</v>
      </c>
      <c r="P112" s="18"/>
      <c r="Q112" s="16">
        <v>120000</v>
      </c>
    </row>
    <row r="113" spans="1:17">
      <c r="A113" s="20" t="s">
        <v>232</v>
      </c>
      <c r="B113" s="15"/>
      <c r="C113" s="16"/>
      <c r="D113" s="16"/>
      <c r="E113" s="16"/>
      <c r="F113" s="16"/>
      <c r="G113" s="16"/>
      <c r="H113" s="16"/>
      <c r="I113" s="16"/>
      <c r="J113" s="16"/>
      <c r="K113" s="18"/>
      <c r="L113" s="16">
        <v>70000</v>
      </c>
      <c r="M113" s="16">
        <v>90000</v>
      </c>
      <c r="N113" s="18"/>
      <c r="O113" s="16">
        <v>120000</v>
      </c>
      <c r="P113" s="18"/>
      <c r="Q113" s="16">
        <v>120000</v>
      </c>
    </row>
    <row r="114" spans="1:17">
      <c r="A114" s="20" t="s">
        <v>197</v>
      </c>
      <c r="B114" s="15"/>
      <c r="C114" s="16"/>
      <c r="D114" s="16"/>
      <c r="E114" s="16"/>
      <c r="F114" s="16"/>
      <c r="G114" s="16">
        <f>120*80</f>
        <v>9600</v>
      </c>
      <c r="H114" s="16"/>
      <c r="I114" s="16"/>
      <c r="J114" s="16"/>
      <c r="K114" s="18"/>
      <c r="L114" s="16">
        <f>70000*L147</f>
        <v>140000</v>
      </c>
      <c r="M114" s="16">
        <f>70000*M147</f>
        <v>420000</v>
      </c>
      <c r="N114" s="18"/>
      <c r="O114" s="16">
        <f>70000*O147</f>
        <v>1050000</v>
      </c>
      <c r="P114" s="18"/>
      <c r="Q114" s="16">
        <v>420000</v>
      </c>
    </row>
    <row r="115" spans="1:17">
      <c r="A115" s="20" t="s">
        <v>233</v>
      </c>
      <c r="B115" s="15"/>
      <c r="C115" s="16"/>
      <c r="D115" s="16"/>
      <c r="E115" s="16"/>
      <c r="F115" s="16"/>
      <c r="G115" s="16">
        <f>11200+19200</f>
        <v>30400</v>
      </c>
      <c r="H115" s="16"/>
      <c r="I115" s="16"/>
      <c r="J115" s="16"/>
      <c r="K115" s="18"/>
      <c r="L115" s="16">
        <f>60000*L148</f>
        <v>60000</v>
      </c>
      <c r="M115" s="16">
        <f>60000*M148</f>
        <v>240000</v>
      </c>
      <c r="N115" s="18"/>
      <c r="O115" s="16">
        <f>60000*O148</f>
        <v>420000</v>
      </c>
      <c r="P115" s="18"/>
      <c r="Q115" s="16">
        <v>240000</v>
      </c>
    </row>
    <row r="116" spans="1:17">
      <c r="A116" s="20" t="s">
        <v>234</v>
      </c>
      <c r="B116" s="15"/>
      <c r="C116" s="16"/>
      <c r="D116" s="16"/>
      <c r="E116" s="16"/>
      <c r="F116" s="16"/>
      <c r="G116" s="16"/>
      <c r="H116" s="16"/>
      <c r="I116" s="16"/>
      <c r="J116" s="16"/>
      <c r="K116" s="18"/>
      <c r="L116" s="16">
        <f>30000*L155</f>
        <v>90000</v>
      </c>
      <c r="M116" s="16">
        <f>30000*M155</f>
        <v>90000</v>
      </c>
      <c r="N116" s="18"/>
      <c r="O116" s="16">
        <f>30000*O155</f>
        <v>450000</v>
      </c>
      <c r="P116" s="18"/>
      <c r="Q116" s="16">
        <v>90000</v>
      </c>
    </row>
    <row r="117" spans="1:17">
      <c r="A117" s="20" t="s">
        <v>170</v>
      </c>
      <c r="B117" s="15"/>
      <c r="C117" s="16"/>
      <c r="D117" s="16"/>
      <c r="E117" s="16"/>
      <c r="F117" s="16"/>
      <c r="G117" s="16"/>
      <c r="H117" s="16"/>
      <c r="I117" s="16"/>
      <c r="J117" s="16"/>
      <c r="K117" s="18"/>
      <c r="L117" s="16"/>
      <c r="M117" s="18"/>
      <c r="N117" s="18"/>
      <c r="O117" s="16"/>
      <c r="P117" s="18"/>
      <c r="Q117" s="16"/>
    </row>
    <row r="118" spans="1:17">
      <c r="A118" s="20" t="s">
        <v>235</v>
      </c>
      <c r="B118" s="15"/>
      <c r="C118" s="16"/>
      <c r="D118" s="16"/>
      <c r="E118" s="16"/>
      <c r="F118" s="16"/>
      <c r="G118" s="16"/>
      <c r="H118" s="16"/>
      <c r="I118" s="16"/>
      <c r="J118" s="16"/>
      <c r="K118" s="18"/>
      <c r="L118" s="16">
        <f>50000*L153</f>
        <v>100000</v>
      </c>
      <c r="M118" s="16">
        <f>50000*M153</f>
        <v>150000</v>
      </c>
      <c r="N118" s="18"/>
      <c r="O118" s="16">
        <f>50000*O153</f>
        <v>200000</v>
      </c>
      <c r="P118" s="18"/>
      <c r="Q118" s="16">
        <v>150000</v>
      </c>
    </row>
    <row r="119" spans="1:17">
      <c r="A119" s="20" t="s">
        <v>236</v>
      </c>
      <c r="B119" s="15"/>
      <c r="C119" s="16"/>
      <c r="D119" s="16"/>
      <c r="E119" s="16"/>
      <c r="F119" s="16"/>
      <c r="G119" s="16"/>
      <c r="H119" s="16"/>
      <c r="I119" s="16"/>
      <c r="J119" s="16"/>
      <c r="K119" s="18"/>
      <c r="L119" s="16">
        <f>(25000*L152)+((Revenue!L13+Revenue!L19)*0.01)</f>
        <v>60510.142843200003</v>
      </c>
      <c r="M119" s="16">
        <f>(25000*M152)+((Revenue!M13+Revenue!M19)*0.01)</f>
        <v>149892.44357599999</v>
      </c>
      <c r="N119" s="18"/>
      <c r="O119" s="16">
        <f>(25000*O152)+((Revenue!N13+Revenue!N19)*0.01)</f>
        <v>441379.84953599999</v>
      </c>
      <c r="P119" s="18"/>
      <c r="Q119" s="16">
        <v>290304.08986399998</v>
      </c>
    </row>
    <row r="120" spans="1:17">
      <c r="A120" s="20" t="s">
        <v>237</v>
      </c>
      <c r="B120" s="15"/>
      <c r="C120" s="16"/>
      <c r="D120" s="16"/>
      <c r="E120" s="16"/>
      <c r="F120" s="16"/>
      <c r="G120" s="16"/>
      <c r="H120" s="16"/>
      <c r="I120" s="16"/>
      <c r="J120" s="16"/>
      <c r="K120" s="18"/>
      <c r="L120" s="16">
        <f>24000*L154</f>
        <v>192000</v>
      </c>
      <c r="M120" s="16">
        <f>24000*M154</f>
        <v>240000</v>
      </c>
      <c r="N120" s="18"/>
      <c r="O120" s="16">
        <f>24000*O154</f>
        <v>600000</v>
      </c>
      <c r="P120" s="18"/>
      <c r="Q120" s="16">
        <f>24000*Q154</f>
        <v>1032000</v>
      </c>
    </row>
    <row r="121" spans="1:17">
      <c r="A121" s="20" t="s">
        <v>238</v>
      </c>
      <c r="B121" s="15"/>
      <c r="C121" s="16"/>
      <c r="D121" s="16"/>
      <c r="E121" s="16"/>
      <c r="F121" s="16"/>
      <c r="G121" s="16"/>
      <c r="H121" s="16"/>
      <c r="I121" s="16"/>
      <c r="J121" s="16"/>
      <c r="K121" s="18"/>
      <c r="L121" s="16">
        <f>24000*L156</f>
        <v>72000</v>
      </c>
      <c r="M121" s="16">
        <f>24000*M156</f>
        <v>72000</v>
      </c>
      <c r="N121" s="18"/>
      <c r="O121" s="16">
        <f>24000*O156</f>
        <v>360000</v>
      </c>
      <c r="P121" s="18"/>
      <c r="Q121" s="16">
        <f>24000*Q156</f>
        <v>960000</v>
      </c>
    </row>
    <row r="122" spans="1:17">
      <c r="A122" s="20" t="s">
        <v>10</v>
      </c>
      <c r="B122" s="4"/>
      <c r="C122" s="16"/>
      <c r="D122" s="16"/>
      <c r="E122" s="16"/>
      <c r="F122" s="16"/>
      <c r="G122" s="16">
        <f>SUM(G107:G121)</f>
        <v>160000</v>
      </c>
      <c r="H122" s="16">
        <f t="shared" ref="H122:Q122" si="8">SUM(H107:H121)</f>
        <v>0</v>
      </c>
      <c r="I122" s="16">
        <f t="shared" si="8"/>
        <v>0</v>
      </c>
      <c r="J122" s="16">
        <f t="shared" si="8"/>
        <v>0</v>
      </c>
      <c r="K122" s="16">
        <f t="shared" si="8"/>
        <v>0</v>
      </c>
      <c r="L122" s="16">
        <f t="shared" si="8"/>
        <v>1144510.1428431999</v>
      </c>
      <c r="M122" s="16">
        <f t="shared" si="8"/>
        <v>2051892.4435759999</v>
      </c>
      <c r="N122" s="16">
        <f t="shared" si="8"/>
        <v>0</v>
      </c>
      <c r="O122" s="16">
        <f>SUM(O107:O121)</f>
        <v>4251379.8495359998</v>
      </c>
      <c r="P122" s="16"/>
      <c r="Q122" s="16">
        <f t="shared" si="8"/>
        <v>4052304.0898639997</v>
      </c>
    </row>
    <row r="123" spans="1:17">
      <c r="A123" s="20" t="s">
        <v>11</v>
      </c>
      <c r="B123" s="4"/>
      <c r="C123" s="16"/>
      <c r="D123" s="16"/>
      <c r="E123" s="16"/>
      <c r="F123" s="16"/>
      <c r="G123" s="16">
        <f>G122-SUM(G114:G115)</f>
        <v>120000</v>
      </c>
      <c r="H123" s="16">
        <f t="shared" ref="H123:N123" si="9">H122-SUM(H114:H115)</f>
        <v>0</v>
      </c>
      <c r="I123" s="16">
        <f t="shared" si="9"/>
        <v>0</v>
      </c>
      <c r="J123" s="16">
        <f t="shared" si="9"/>
        <v>0</v>
      </c>
      <c r="K123" s="16">
        <f t="shared" si="9"/>
        <v>0</v>
      </c>
      <c r="L123" s="16">
        <f t="shared" si="9"/>
        <v>944510.14284319989</v>
      </c>
      <c r="M123" s="16">
        <f>M122-(SUM(M120/2,M115,M114/2))</f>
        <v>1481892.4435759999</v>
      </c>
      <c r="N123" s="16">
        <f t="shared" si="9"/>
        <v>0</v>
      </c>
      <c r="O123" s="16">
        <f>O122-(SUM(O120/2,O115,O114/2))</f>
        <v>3006379.8495359998</v>
      </c>
      <c r="P123" s="18"/>
      <c r="Q123" s="16">
        <f>Q122-(SUM(Q120/2,Q115,Q114/2))</f>
        <v>3086304.0898639997</v>
      </c>
    </row>
    <row r="124" spans="1:17">
      <c r="A124" s="19" t="s">
        <v>175</v>
      </c>
      <c r="B124" s="3"/>
      <c r="C124" s="16"/>
      <c r="D124" s="16"/>
      <c r="E124" s="16"/>
      <c r="F124" s="16"/>
      <c r="G124" s="16"/>
      <c r="H124" s="16"/>
      <c r="I124" s="16"/>
      <c r="J124" s="16"/>
      <c r="K124" s="18"/>
      <c r="L124" s="18"/>
      <c r="M124" s="18"/>
      <c r="N124" s="18"/>
      <c r="O124" s="18"/>
      <c r="P124" s="18"/>
      <c r="Q124" s="18"/>
    </row>
    <row r="125" spans="1:17">
      <c r="A125" s="20" t="s">
        <v>239</v>
      </c>
      <c r="B125" s="4"/>
      <c r="C125" s="16"/>
      <c r="D125" s="16"/>
      <c r="E125" s="16"/>
      <c r="F125" s="16"/>
      <c r="G125" s="16">
        <f>G158*450*12</f>
        <v>21600</v>
      </c>
      <c r="H125" s="16">
        <f t="shared" ref="H125:L125" si="10">H158*450*12</f>
        <v>0</v>
      </c>
      <c r="I125" s="16">
        <f t="shared" si="10"/>
        <v>0</v>
      </c>
      <c r="J125" s="16">
        <f t="shared" si="10"/>
        <v>0</v>
      </c>
      <c r="K125" s="16">
        <f t="shared" si="10"/>
        <v>0</v>
      </c>
      <c r="L125" s="16">
        <f t="shared" si="10"/>
        <v>162000</v>
      </c>
      <c r="M125" s="16">
        <f>M158*450*12</f>
        <v>297000</v>
      </c>
      <c r="N125" s="18"/>
      <c r="O125" s="16">
        <f>O158*450*12</f>
        <v>680400</v>
      </c>
      <c r="P125" s="18"/>
      <c r="Q125" s="16">
        <f>Q158*450*12</f>
        <v>1236600</v>
      </c>
    </row>
    <row r="126" spans="1:17">
      <c r="A126" s="20" t="s">
        <v>66</v>
      </c>
      <c r="B126" s="4"/>
      <c r="C126" s="16"/>
      <c r="D126" s="16"/>
      <c r="E126" s="16"/>
      <c r="F126" s="16"/>
      <c r="G126" s="16">
        <f>1500+(115*12)</f>
        <v>2880</v>
      </c>
      <c r="H126" s="16"/>
      <c r="I126" s="16"/>
      <c r="J126" s="16"/>
      <c r="K126" s="18"/>
      <c r="L126" s="16">
        <f>115*2</f>
        <v>230</v>
      </c>
      <c r="M126" s="18"/>
      <c r="N126" s="18"/>
      <c r="O126" s="18"/>
      <c r="P126" s="18"/>
      <c r="Q126" s="18"/>
    </row>
    <row r="127" spans="1:17">
      <c r="A127" s="20" t="s">
        <v>119</v>
      </c>
      <c r="B127" s="4"/>
      <c r="C127" s="16"/>
      <c r="D127" s="16"/>
      <c r="E127" s="16"/>
      <c r="F127" s="16"/>
      <c r="G127" s="16"/>
      <c r="H127" s="16"/>
      <c r="I127" s="16"/>
      <c r="J127" s="16"/>
      <c r="K127" s="18"/>
      <c r="L127" s="18"/>
      <c r="M127" s="18"/>
      <c r="N127" s="18"/>
      <c r="O127" s="18"/>
      <c r="P127" s="18"/>
      <c r="Q127" s="18"/>
    </row>
    <row r="128" spans="1:17">
      <c r="A128" s="20" t="s">
        <v>120</v>
      </c>
      <c r="B128" s="4"/>
      <c r="C128" s="18"/>
      <c r="D128" s="18"/>
      <c r="E128" s="18"/>
      <c r="F128" s="16"/>
      <c r="G128" s="18"/>
      <c r="H128" s="16"/>
      <c r="I128" s="18"/>
      <c r="J128" s="16"/>
      <c r="K128" s="18"/>
      <c r="L128" s="18"/>
      <c r="M128" s="18"/>
      <c r="N128" s="18"/>
      <c r="O128" s="18"/>
      <c r="P128" s="18"/>
      <c r="Q128" s="18"/>
    </row>
    <row r="129" spans="1:17">
      <c r="A129" s="21" t="s">
        <v>121</v>
      </c>
      <c r="B129" s="5"/>
      <c r="C129" s="16"/>
      <c r="D129" s="16"/>
      <c r="E129" s="16"/>
      <c r="F129" s="16"/>
      <c r="G129" s="16">
        <f>G123*0.062</f>
        <v>7440</v>
      </c>
      <c r="H129" s="16">
        <f t="shared" ref="H129:L129" si="11">H123*0.062</f>
        <v>0</v>
      </c>
      <c r="I129" s="16">
        <f t="shared" si="11"/>
        <v>0</v>
      </c>
      <c r="J129" s="16">
        <f t="shared" si="11"/>
        <v>0</v>
      </c>
      <c r="K129" s="16">
        <f t="shared" si="11"/>
        <v>0</v>
      </c>
      <c r="L129" s="16">
        <f t="shared" si="11"/>
        <v>58559.628856278396</v>
      </c>
      <c r="M129" s="16">
        <f>M123*0.062</f>
        <v>91877.331501711989</v>
      </c>
      <c r="N129" s="18"/>
      <c r="O129" s="16">
        <f>O123*0.062</f>
        <v>186395.55067123199</v>
      </c>
      <c r="P129" s="18"/>
      <c r="Q129" s="16">
        <f>Q123*0.062</f>
        <v>191350.85357156798</v>
      </c>
    </row>
    <row r="130" spans="1:17">
      <c r="A130" s="21" t="s">
        <v>67</v>
      </c>
      <c r="B130" s="5"/>
      <c r="C130" s="16"/>
      <c r="D130" s="16"/>
      <c r="E130" s="16"/>
      <c r="F130" s="16"/>
      <c r="G130" s="16">
        <f>G123*0.0145</f>
        <v>1740</v>
      </c>
      <c r="H130" s="16">
        <f t="shared" ref="H130:L130" si="12">H123*0.0145</f>
        <v>0</v>
      </c>
      <c r="I130" s="16">
        <f t="shared" si="12"/>
        <v>0</v>
      </c>
      <c r="J130" s="16">
        <f t="shared" si="12"/>
        <v>0</v>
      </c>
      <c r="K130" s="16">
        <f t="shared" si="12"/>
        <v>0</v>
      </c>
      <c r="L130" s="16">
        <f t="shared" si="12"/>
        <v>13695.3970712264</v>
      </c>
      <c r="M130" s="16">
        <f>M123*0.0145</f>
        <v>21487.440431851999</v>
      </c>
      <c r="N130" s="18"/>
      <c r="O130" s="16">
        <f>O123*0.0145</f>
        <v>43592.507818272003</v>
      </c>
      <c r="P130" s="18"/>
      <c r="Q130" s="16">
        <f>Q123*0.0145</f>
        <v>44751.409303027998</v>
      </c>
    </row>
    <row r="131" spans="1:17">
      <c r="A131" s="21" t="s">
        <v>68</v>
      </c>
      <c r="B131" s="5"/>
      <c r="C131" s="16"/>
      <c r="D131" s="16"/>
      <c r="E131" s="16"/>
      <c r="F131" s="16"/>
      <c r="G131" s="16">
        <f>7000*G159*0.06</f>
        <v>1260</v>
      </c>
      <c r="H131" s="16">
        <f t="shared" ref="H131:L131" si="13">7000*H159*0.06</f>
        <v>0</v>
      </c>
      <c r="I131" s="16">
        <f t="shared" si="13"/>
        <v>0</v>
      </c>
      <c r="J131" s="16">
        <f t="shared" si="13"/>
        <v>0</v>
      </c>
      <c r="K131" s="16">
        <f t="shared" si="13"/>
        <v>0</v>
      </c>
      <c r="L131" s="16">
        <f t="shared" si="13"/>
        <v>10080</v>
      </c>
      <c r="M131" s="16">
        <f>7000*M159*0.06</f>
        <v>20580</v>
      </c>
      <c r="N131" s="18"/>
      <c r="O131" s="16">
        <f>7000*O159*0.06</f>
        <v>50400</v>
      </c>
      <c r="P131" s="18"/>
      <c r="Q131" s="16">
        <f>7000*Q159*0.06</f>
        <v>93660</v>
      </c>
    </row>
    <row r="132" spans="1:17">
      <c r="A132" s="21" t="s">
        <v>122</v>
      </c>
      <c r="B132" s="5"/>
      <c r="C132" s="16"/>
      <c r="D132" s="16"/>
      <c r="E132" s="16"/>
      <c r="F132" s="16"/>
      <c r="G132" s="16"/>
      <c r="H132" s="16"/>
      <c r="I132" s="16"/>
      <c r="J132" s="16"/>
      <c r="K132" s="18"/>
      <c r="L132" s="18"/>
      <c r="M132" s="18"/>
      <c r="N132" s="18"/>
      <c r="O132" s="18"/>
      <c r="P132" s="18"/>
      <c r="Q132" s="18"/>
    </row>
    <row r="133" spans="1:17">
      <c r="A133" s="21" t="s">
        <v>123</v>
      </c>
      <c r="B133" s="5"/>
      <c r="C133" s="16"/>
      <c r="D133" s="16"/>
      <c r="E133" s="16"/>
      <c r="F133" s="16"/>
      <c r="G133" s="16"/>
      <c r="H133" s="16"/>
      <c r="I133" s="16"/>
      <c r="J133" s="16"/>
      <c r="K133" s="18"/>
      <c r="L133" s="18"/>
      <c r="M133" s="18"/>
      <c r="N133" s="18"/>
      <c r="O133" s="18"/>
      <c r="P133" s="18"/>
      <c r="Q133" s="18"/>
    </row>
    <row r="134" spans="1:17">
      <c r="A134" s="21" t="s">
        <v>124</v>
      </c>
      <c r="B134" s="5"/>
      <c r="C134" s="16"/>
      <c r="D134" s="16"/>
      <c r="E134" s="16"/>
      <c r="F134" s="16"/>
      <c r="G134" s="16"/>
      <c r="H134" s="16"/>
      <c r="I134" s="16"/>
      <c r="J134" s="16"/>
      <c r="K134" s="18"/>
      <c r="L134" s="18"/>
      <c r="M134" s="18"/>
      <c r="N134" s="18"/>
      <c r="O134" s="18"/>
      <c r="P134" s="18"/>
      <c r="Q134" s="16">
        <f>300*Q159</f>
        <v>66900</v>
      </c>
    </row>
    <row r="135" spans="1:17">
      <c r="A135" s="21" t="s">
        <v>125</v>
      </c>
      <c r="B135" s="5"/>
      <c r="C135" s="16"/>
      <c r="D135" s="16"/>
      <c r="E135" s="16"/>
      <c r="F135" s="16"/>
      <c r="G135" s="16"/>
      <c r="H135" s="16"/>
      <c r="I135" s="16"/>
      <c r="J135" s="16"/>
      <c r="K135" s="18"/>
      <c r="L135" s="18"/>
      <c r="M135" s="18"/>
      <c r="N135" s="18"/>
      <c r="O135" s="18"/>
      <c r="P135" s="18"/>
      <c r="Q135" s="18"/>
    </row>
    <row r="136" spans="1:17">
      <c r="A136" s="21" t="s">
        <v>126</v>
      </c>
      <c r="B136" s="5"/>
      <c r="C136" s="16"/>
      <c r="D136" s="16"/>
      <c r="E136" s="16"/>
      <c r="F136" s="16"/>
      <c r="G136" s="16"/>
      <c r="H136" s="16"/>
      <c r="I136" s="16"/>
      <c r="J136" s="16"/>
      <c r="K136" s="18"/>
      <c r="L136" s="18"/>
      <c r="M136" s="18"/>
      <c r="N136" s="18"/>
      <c r="O136" s="18"/>
      <c r="P136" s="18"/>
      <c r="Q136" s="18"/>
    </row>
    <row r="137" spans="1:17">
      <c r="A137" s="21" t="s">
        <v>127</v>
      </c>
      <c r="B137" s="5"/>
      <c r="C137" s="16"/>
      <c r="D137" s="16"/>
      <c r="E137" s="16"/>
      <c r="F137" s="16"/>
      <c r="G137" s="16"/>
      <c r="H137" s="16"/>
      <c r="I137" s="16"/>
      <c r="J137" s="16"/>
      <c r="K137" s="18"/>
      <c r="L137" s="18"/>
      <c r="M137" s="18"/>
      <c r="N137" s="18"/>
      <c r="O137" s="18"/>
      <c r="P137" s="18"/>
      <c r="Q137" s="18"/>
    </row>
    <row r="138" spans="1:17">
      <c r="A138" s="21" t="s">
        <v>128</v>
      </c>
      <c r="B138" s="5"/>
      <c r="C138" s="16"/>
      <c r="D138" s="16"/>
      <c r="E138" s="16"/>
      <c r="F138" s="16"/>
      <c r="G138" s="16"/>
      <c r="H138" s="16"/>
      <c r="I138" s="16"/>
      <c r="J138" s="16"/>
      <c r="K138" s="18"/>
      <c r="L138" s="18"/>
      <c r="M138" s="18"/>
      <c r="N138" s="18"/>
      <c r="O138" s="18"/>
      <c r="P138" s="18"/>
      <c r="Q138" s="16">
        <f>24000*2</f>
        <v>48000</v>
      </c>
    </row>
    <row r="139" spans="1:17">
      <c r="A139" s="21" t="s">
        <v>129</v>
      </c>
      <c r="B139" s="5"/>
      <c r="C139" s="16"/>
      <c r="D139" s="16"/>
      <c r="E139" s="16"/>
      <c r="F139" s="16"/>
      <c r="G139" s="16"/>
      <c r="H139" s="16"/>
      <c r="I139" s="16"/>
      <c r="J139" s="16"/>
      <c r="K139" s="18"/>
      <c r="L139" s="18"/>
      <c r="M139" s="18"/>
      <c r="N139" s="18"/>
      <c r="O139" s="18"/>
      <c r="P139" s="18"/>
      <c r="Q139" s="18"/>
    </row>
    <row r="140" spans="1:17">
      <c r="A140" s="20" t="s">
        <v>12</v>
      </c>
      <c r="B140" s="4"/>
      <c r="C140" s="16"/>
      <c r="D140" s="16"/>
      <c r="E140" s="16"/>
      <c r="F140" s="16"/>
      <c r="G140" s="16">
        <f>SUM(G125:G139)</f>
        <v>34920</v>
      </c>
      <c r="H140" s="16">
        <f t="shared" ref="H140:Q140" si="14">SUM(H125:H139)</f>
        <v>0</v>
      </c>
      <c r="I140" s="16">
        <f t="shared" si="14"/>
        <v>0</v>
      </c>
      <c r="J140" s="16">
        <f t="shared" si="14"/>
        <v>0</v>
      </c>
      <c r="K140" s="16">
        <f t="shared" si="14"/>
        <v>0</v>
      </c>
      <c r="L140" s="16">
        <f t="shared" si="14"/>
        <v>244565.02592750482</v>
      </c>
      <c r="M140" s="16">
        <f t="shared" si="14"/>
        <v>430944.77193356398</v>
      </c>
      <c r="N140" s="16">
        <f t="shared" si="14"/>
        <v>0</v>
      </c>
      <c r="O140" s="16">
        <f t="shared" si="14"/>
        <v>960788.05848950392</v>
      </c>
      <c r="P140" s="16">
        <f t="shared" si="14"/>
        <v>0</v>
      </c>
      <c r="Q140" s="16">
        <f t="shared" si="14"/>
        <v>1681262.2628745958</v>
      </c>
    </row>
    <row r="141" spans="1:17">
      <c r="A141" s="20"/>
      <c r="B141" s="4"/>
      <c r="C141" s="16"/>
      <c r="D141" s="16"/>
      <c r="E141" s="16"/>
      <c r="F141" s="16"/>
      <c r="G141" s="16"/>
      <c r="H141" s="16"/>
      <c r="I141" s="16"/>
      <c r="J141" s="16"/>
      <c r="K141" s="18"/>
      <c r="L141" s="18"/>
      <c r="M141" s="18"/>
      <c r="N141" s="18"/>
      <c r="O141" s="18"/>
      <c r="P141" s="18"/>
      <c r="Q141" s="18"/>
    </row>
    <row r="142" spans="1:17" ht="16">
      <c r="A142" s="19" t="s">
        <v>13</v>
      </c>
      <c r="B142" s="54"/>
      <c r="C142" s="51"/>
      <c r="D142" s="51"/>
      <c r="E142" s="51"/>
      <c r="F142" s="51"/>
      <c r="G142" s="51">
        <f>G140+G122+G105+G99+G93+G70+G62+G55+G39+G11</f>
        <v>448101</v>
      </c>
      <c r="H142" s="51">
        <f t="shared" ref="H142:Q142" si="15">H140+H122+H105+H99+H93+H70+H62+H55+H39+H11</f>
        <v>0</v>
      </c>
      <c r="I142" s="51">
        <f t="shared" si="15"/>
        <v>0</v>
      </c>
      <c r="J142" s="51">
        <f t="shared" si="15"/>
        <v>0</v>
      </c>
      <c r="K142" s="51">
        <f t="shared" si="15"/>
        <v>0</v>
      </c>
      <c r="L142" s="51">
        <f t="shared" si="15"/>
        <v>1676451.1687707047</v>
      </c>
      <c r="M142" s="51">
        <f t="shared" si="15"/>
        <v>2818978.2155095637</v>
      </c>
      <c r="N142" s="51">
        <f t="shared" si="15"/>
        <v>0</v>
      </c>
      <c r="O142" s="51">
        <f t="shared" si="15"/>
        <v>5827699.9080255041</v>
      </c>
      <c r="P142" s="51">
        <f t="shared" si="15"/>
        <v>0</v>
      </c>
      <c r="Q142" s="51">
        <f t="shared" si="15"/>
        <v>6813051.3527385956</v>
      </c>
    </row>
    <row r="143" spans="1:17">
      <c r="A143" s="19" t="s">
        <v>14</v>
      </c>
      <c r="B143" s="3"/>
      <c r="C143" s="16"/>
      <c r="D143" s="16"/>
      <c r="E143" s="16"/>
      <c r="F143" s="16"/>
      <c r="G143" s="16">
        <f>G8+G9+G10+G23+G34+G36+G60+G61+G88</f>
        <v>17514</v>
      </c>
      <c r="H143" s="16"/>
      <c r="I143" s="16"/>
      <c r="J143" s="16"/>
      <c r="K143" s="18"/>
      <c r="L143" s="18">
        <f>L23+L25+L27+L29+L30+L31+L32+L35+L36</f>
        <v>25100</v>
      </c>
      <c r="M143" s="18">
        <f>M25+M27+M28+M29+M31+M32+M33+M34+M35+M36</f>
        <v>41050</v>
      </c>
      <c r="N143" s="18"/>
      <c r="O143" s="18">
        <f>O25+O27+O31+O32+O33+O34+O35+O36+O57+O58+O59+O61+O88</f>
        <v>262910</v>
      </c>
      <c r="P143" s="18"/>
      <c r="Q143" s="18">
        <f>Q25+Q27+Q28+Q29+Q31+Q32+Q33+Q34+Q35+Q36</f>
        <v>88750</v>
      </c>
    </row>
    <row r="144" spans="1:17">
      <c r="A144" s="19"/>
      <c r="B144" s="3"/>
      <c r="C144" s="16"/>
      <c r="D144" s="16"/>
      <c r="E144" s="16"/>
      <c r="F144" s="16"/>
      <c r="G144" s="16"/>
      <c r="H144" s="16"/>
      <c r="I144" s="16"/>
      <c r="J144" s="16"/>
      <c r="K144" s="18"/>
      <c r="L144" s="18"/>
      <c r="M144" s="18"/>
      <c r="N144" s="18"/>
      <c r="O144" s="18"/>
      <c r="P144" s="18"/>
      <c r="Q144" s="18"/>
    </row>
    <row r="145" spans="1:20">
      <c r="A145" s="19"/>
      <c r="B145" s="3"/>
      <c r="C145" s="16"/>
      <c r="D145" s="16"/>
      <c r="E145" s="16"/>
      <c r="F145" s="16"/>
      <c r="G145" s="16"/>
      <c r="H145" s="16"/>
      <c r="I145" s="16"/>
      <c r="J145" s="16"/>
      <c r="K145" s="18"/>
      <c r="L145" s="18"/>
      <c r="M145" s="18"/>
      <c r="N145" s="18"/>
      <c r="O145" s="18"/>
      <c r="P145" s="18"/>
      <c r="Q145" s="18"/>
    </row>
    <row r="146" spans="1:20">
      <c r="A146" s="19" t="s">
        <v>15</v>
      </c>
      <c r="B146" s="7"/>
      <c r="C146" s="16"/>
      <c r="D146" s="16"/>
      <c r="E146" s="16"/>
      <c r="F146" s="16"/>
      <c r="G146" s="16"/>
      <c r="H146" s="16"/>
      <c r="I146" s="16"/>
      <c r="J146" s="16"/>
      <c r="K146" s="18"/>
      <c r="L146" s="18"/>
      <c r="M146" s="18"/>
      <c r="N146" s="18"/>
      <c r="O146" s="18"/>
      <c r="P146" s="18"/>
      <c r="Q146" s="18"/>
    </row>
    <row r="147" spans="1:20">
      <c r="A147" s="19" t="s">
        <v>131</v>
      </c>
      <c r="B147" s="3"/>
      <c r="C147" s="16"/>
      <c r="D147" s="16"/>
      <c r="E147" s="16"/>
      <c r="F147" s="16"/>
      <c r="G147" s="16">
        <v>1.5</v>
      </c>
      <c r="H147" s="16"/>
      <c r="I147" s="16"/>
      <c r="J147" s="16"/>
      <c r="K147" s="16"/>
      <c r="L147" s="16">
        <v>2</v>
      </c>
      <c r="M147" s="16">
        <v>6</v>
      </c>
      <c r="N147" s="18">
        <f>M147-L147</f>
        <v>4</v>
      </c>
      <c r="O147" s="16">
        <v>15</v>
      </c>
      <c r="P147" s="18">
        <f t="shared" ref="P147:P156" si="16">O147-M147</f>
        <v>9</v>
      </c>
      <c r="Q147" s="16">
        <v>30</v>
      </c>
      <c r="R147">
        <f>Q147-O147</f>
        <v>15</v>
      </c>
    </row>
    <row r="148" spans="1:20">
      <c r="A148" s="19" t="s">
        <v>132</v>
      </c>
      <c r="B148" s="3"/>
      <c r="C148" s="16"/>
      <c r="D148" s="16"/>
      <c r="E148" s="16"/>
      <c r="F148" s="16"/>
      <c r="G148" s="16">
        <v>1.5</v>
      </c>
      <c r="H148" s="16"/>
      <c r="I148" s="16"/>
      <c r="J148" s="16"/>
      <c r="K148" s="16"/>
      <c r="L148" s="16">
        <v>1</v>
      </c>
      <c r="M148" s="16">
        <v>4</v>
      </c>
      <c r="N148" s="18">
        <f t="shared" ref="N148:N156" si="17">M148-L148</f>
        <v>3</v>
      </c>
      <c r="O148" s="16">
        <v>7</v>
      </c>
      <c r="P148" s="18">
        <f t="shared" si="16"/>
        <v>3</v>
      </c>
      <c r="Q148" s="16">
        <v>10</v>
      </c>
      <c r="R148">
        <f t="shared" ref="R148:R156" si="18">Q148-O148</f>
        <v>3</v>
      </c>
    </row>
    <row r="149" spans="1:20">
      <c r="A149" s="19" t="s">
        <v>133</v>
      </c>
      <c r="B149" s="3"/>
      <c r="C149" s="16"/>
      <c r="D149" s="16"/>
      <c r="E149" s="16"/>
      <c r="F149" s="16"/>
      <c r="G149" s="16">
        <v>1</v>
      </c>
      <c r="H149" s="16"/>
      <c r="I149" s="16"/>
      <c r="J149" s="16"/>
      <c r="K149" s="16"/>
      <c r="L149" s="16">
        <v>2</v>
      </c>
      <c r="M149" s="16">
        <v>10</v>
      </c>
      <c r="N149" s="18">
        <f t="shared" si="17"/>
        <v>8</v>
      </c>
      <c r="O149" s="16">
        <v>15</v>
      </c>
      <c r="P149" s="18">
        <f t="shared" si="16"/>
        <v>5</v>
      </c>
      <c r="Q149" s="16">
        <v>30</v>
      </c>
      <c r="R149">
        <f t="shared" si="18"/>
        <v>15</v>
      </c>
    </row>
    <row r="150" spans="1:20">
      <c r="A150" s="19" t="s">
        <v>134</v>
      </c>
      <c r="B150" s="3"/>
      <c r="C150" s="16"/>
      <c r="D150" s="16"/>
      <c r="E150" s="16"/>
      <c r="F150" s="16"/>
      <c r="G150" s="16"/>
      <c r="H150" s="16"/>
      <c r="I150" s="16"/>
      <c r="J150" s="16"/>
      <c r="K150" s="16"/>
      <c r="L150" s="16">
        <v>0</v>
      </c>
      <c r="M150" s="16">
        <v>2</v>
      </c>
      <c r="N150" s="18"/>
      <c r="O150" s="16">
        <v>4</v>
      </c>
      <c r="P150" s="18">
        <f t="shared" si="16"/>
        <v>2</v>
      </c>
      <c r="Q150" s="16">
        <v>6</v>
      </c>
      <c r="R150">
        <f t="shared" si="18"/>
        <v>2</v>
      </c>
    </row>
    <row r="151" spans="1:20">
      <c r="A151" s="19" t="s">
        <v>135</v>
      </c>
      <c r="B151" s="3"/>
      <c r="C151" s="16"/>
      <c r="D151" s="16"/>
      <c r="E151" s="16"/>
      <c r="F151" s="16"/>
      <c r="G151" s="16"/>
      <c r="H151" s="16"/>
      <c r="I151" s="16"/>
      <c r="J151" s="16"/>
      <c r="K151" s="16"/>
      <c r="L151" s="16">
        <v>1</v>
      </c>
      <c r="M151" s="16">
        <v>3</v>
      </c>
      <c r="N151" s="18">
        <f t="shared" si="17"/>
        <v>2</v>
      </c>
      <c r="O151" s="16">
        <v>5</v>
      </c>
      <c r="P151" s="18">
        <f t="shared" si="16"/>
        <v>2</v>
      </c>
      <c r="Q151" s="16">
        <v>5</v>
      </c>
      <c r="R151">
        <f t="shared" si="18"/>
        <v>0</v>
      </c>
    </row>
    <row r="152" spans="1:20">
      <c r="A152" s="19" t="s">
        <v>236</v>
      </c>
      <c r="B152" s="3"/>
      <c r="C152" s="16"/>
      <c r="D152" s="16"/>
      <c r="E152" s="16"/>
      <c r="F152" s="16"/>
      <c r="G152" s="16"/>
      <c r="H152" s="16"/>
      <c r="I152" s="16"/>
      <c r="J152" s="16"/>
      <c r="K152" s="16"/>
      <c r="L152" s="16">
        <v>2</v>
      </c>
      <c r="M152" s="16">
        <v>5</v>
      </c>
      <c r="N152" s="18">
        <f t="shared" si="17"/>
        <v>3</v>
      </c>
      <c r="O152" s="16">
        <v>15</v>
      </c>
      <c r="P152" s="18">
        <f t="shared" si="16"/>
        <v>10</v>
      </c>
      <c r="Q152" s="16">
        <v>15</v>
      </c>
      <c r="R152">
        <f t="shared" si="18"/>
        <v>0</v>
      </c>
    </row>
    <row r="153" spans="1:20">
      <c r="A153" s="19" t="s">
        <v>235</v>
      </c>
      <c r="B153" s="3"/>
      <c r="C153" s="16"/>
      <c r="D153" s="16"/>
      <c r="E153" s="16"/>
      <c r="F153" s="16"/>
      <c r="G153" s="16"/>
      <c r="H153" s="16"/>
      <c r="I153" s="16"/>
      <c r="J153" s="16"/>
      <c r="K153" s="16"/>
      <c r="L153" s="16">
        <v>2</v>
      </c>
      <c r="M153" s="16">
        <v>3</v>
      </c>
      <c r="N153" s="18">
        <f t="shared" si="17"/>
        <v>1</v>
      </c>
      <c r="O153" s="16">
        <v>4</v>
      </c>
      <c r="P153" s="18">
        <f t="shared" si="16"/>
        <v>1</v>
      </c>
      <c r="Q153" s="16">
        <v>4</v>
      </c>
      <c r="R153">
        <f t="shared" si="18"/>
        <v>0</v>
      </c>
    </row>
    <row r="154" spans="1:20">
      <c r="A154" s="19" t="s">
        <v>237</v>
      </c>
      <c r="B154" s="3"/>
      <c r="C154" s="16"/>
      <c r="D154" s="16"/>
      <c r="E154" s="16"/>
      <c r="F154" s="16"/>
      <c r="G154" s="16"/>
      <c r="H154" s="16"/>
      <c r="I154" s="16"/>
      <c r="J154" s="16"/>
      <c r="K154" s="16"/>
      <c r="L154" s="16">
        <v>8</v>
      </c>
      <c r="M154" s="16">
        <v>10</v>
      </c>
      <c r="N154" s="18">
        <f t="shared" si="17"/>
        <v>2</v>
      </c>
      <c r="O154" s="16">
        <v>25</v>
      </c>
      <c r="P154" s="18">
        <f t="shared" si="16"/>
        <v>15</v>
      </c>
      <c r="Q154" s="16">
        <v>43</v>
      </c>
      <c r="R154">
        <f t="shared" si="18"/>
        <v>18</v>
      </c>
    </row>
    <row r="155" spans="1:20">
      <c r="A155" s="19" t="s">
        <v>234</v>
      </c>
      <c r="B155" s="3"/>
      <c r="C155" s="16"/>
      <c r="D155" s="16"/>
      <c r="E155" s="16"/>
      <c r="F155" s="16"/>
      <c r="G155" s="16"/>
      <c r="H155" s="16"/>
      <c r="I155" s="16"/>
      <c r="J155" s="16"/>
      <c r="K155" s="16"/>
      <c r="L155" s="16">
        <v>3</v>
      </c>
      <c r="M155" s="16">
        <v>3</v>
      </c>
      <c r="N155" s="18">
        <f t="shared" si="17"/>
        <v>0</v>
      </c>
      <c r="O155" s="16">
        <v>15</v>
      </c>
      <c r="P155" s="18">
        <f t="shared" si="16"/>
        <v>12</v>
      </c>
      <c r="Q155" s="16">
        <v>40</v>
      </c>
      <c r="R155">
        <f t="shared" si="18"/>
        <v>25</v>
      </c>
    </row>
    <row r="156" spans="1:20">
      <c r="A156" s="19" t="s">
        <v>238</v>
      </c>
      <c r="B156" s="3"/>
      <c r="C156" s="16"/>
      <c r="D156" s="16"/>
      <c r="E156" s="16"/>
      <c r="F156" s="16"/>
      <c r="G156" s="16"/>
      <c r="H156" s="16"/>
      <c r="I156" s="16"/>
      <c r="J156" s="16"/>
      <c r="K156" s="16"/>
      <c r="L156" s="16">
        <v>3</v>
      </c>
      <c r="M156" s="16">
        <v>3</v>
      </c>
      <c r="N156" s="18">
        <f t="shared" si="17"/>
        <v>0</v>
      </c>
      <c r="O156" s="16">
        <v>15</v>
      </c>
      <c r="P156" s="18">
        <f t="shared" si="16"/>
        <v>12</v>
      </c>
      <c r="Q156" s="16">
        <v>40</v>
      </c>
      <c r="R156">
        <f t="shared" si="18"/>
        <v>25</v>
      </c>
    </row>
    <row r="157" spans="1:20">
      <c r="A157" s="19" t="s">
        <v>137</v>
      </c>
      <c r="B157" s="3"/>
      <c r="C157" s="16"/>
      <c r="D157" s="16"/>
      <c r="E157" s="16"/>
      <c r="F157" s="16"/>
      <c r="G157" s="16">
        <v>1</v>
      </c>
      <c r="H157" s="16"/>
      <c r="I157" s="16"/>
      <c r="J157" s="16"/>
      <c r="K157" s="16"/>
      <c r="L157" s="16">
        <v>6</v>
      </c>
      <c r="M157" s="16">
        <v>6</v>
      </c>
      <c r="N157" s="16"/>
      <c r="O157" s="16">
        <v>6</v>
      </c>
      <c r="P157" s="18"/>
      <c r="Q157" s="16">
        <v>6</v>
      </c>
    </row>
    <row r="158" spans="1:20">
      <c r="A158" s="19" t="s">
        <v>136</v>
      </c>
      <c r="B158" s="3"/>
      <c r="C158" s="16"/>
      <c r="D158" s="16"/>
      <c r="E158" s="16"/>
      <c r="F158" s="16"/>
      <c r="G158" s="16">
        <f>SUM(G147:G156)</f>
        <v>4</v>
      </c>
      <c r="H158" s="16">
        <f t="shared" ref="H158:K158" si="19">SUM(H147:H156)</f>
        <v>0</v>
      </c>
      <c r="I158" s="16">
        <f t="shared" si="19"/>
        <v>0</v>
      </c>
      <c r="J158" s="16">
        <f t="shared" si="19"/>
        <v>0</v>
      </c>
      <c r="K158" s="16">
        <f t="shared" si="19"/>
        <v>0</v>
      </c>
      <c r="L158" s="16">
        <f>SUM(L147:L157)</f>
        <v>30</v>
      </c>
      <c r="M158" s="16">
        <f>SUM(M147:M157)</f>
        <v>55</v>
      </c>
      <c r="N158" s="18">
        <f>SUM(N147:N154)</f>
        <v>23</v>
      </c>
      <c r="O158" s="16">
        <f>SUM(O147:O157)</f>
        <v>126</v>
      </c>
      <c r="P158" s="18">
        <f>SUM(P147:P154)</f>
        <v>47</v>
      </c>
      <c r="Q158" s="16">
        <f t="shared" ref="Q158" si="20">SUM(Q147:Q157)</f>
        <v>229</v>
      </c>
      <c r="R158" s="8">
        <f>SUM(R147:R154)</f>
        <v>53</v>
      </c>
    </row>
    <row r="159" spans="1:20">
      <c r="A159" s="19" t="s">
        <v>196</v>
      </c>
      <c r="B159" s="3"/>
      <c r="C159" s="16"/>
      <c r="D159" s="16"/>
      <c r="E159" s="16"/>
      <c r="F159" s="16"/>
      <c r="G159" s="16">
        <f>G158-G157</f>
        <v>3</v>
      </c>
      <c r="H159" s="16">
        <f t="shared" ref="H159:Q159" si="21">H158-H157</f>
        <v>0</v>
      </c>
      <c r="I159" s="16">
        <f t="shared" si="21"/>
        <v>0</v>
      </c>
      <c r="J159" s="16">
        <f t="shared" si="21"/>
        <v>0</v>
      </c>
      <c r="K159" s="16">
        <f t="shared" si="21"/>
        <v>0</v>
      </c>
      <c r="L159" s="16">
        <f t="shared" si="21"/>
        <v>24</v>
      </c>
      <c r="M159" s="16">
        <f t="shared" si="21"/>
        <v>49</v>
      </c>
      <c r="N159" s="16">
        <f t="shared" si="21"/>
        <v>23</v>
      </c>
      <c r="O159" s="16">
        <f t="shared" si="21"/>
        <v>120</v>
      </c>
      <c r="P159" s="16">
        <f t="shared" si="21"/>
        <v>47</v>
      </c>
      <c r="Q159" s="16">
        <f t="shared" si="21"/>
        <v>223</v>
      </c>
      <c r="R159" s="8"/>
      <c r="S159" s="8"/>
      <c r="T159" s="8"/>
    </row>
    <row r="160" spans="1:20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</row>
    <row r="161" spans="1:20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</row>
    <row r="162" spans="1:20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</row>
    <row r="163" spans="1:20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</row>
    <row r="164" spans="1:20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</row>
  </sheetData>
  <phoneticPr fontId="3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C45"/>
  <sheetViews>
    <sheetView zoomScale="125" workbookViewId="0">
      <pane xSplit="1" topLeftCell="B1" activePane="topRight" state="frozen"/>
      <selection pane="topRight" sqref="A1:A2"/>
    </sheetView>
  </sheetViews>
  <sheetFormatPr baseColWidth="10" defaultRowHeight="13"/>
  <cols>
    <col min="1" max="1" width="23.140625" bestFit="1" customWidth="1"/>
  </cols>
  <sheetData>
    <row r="1" spans="1:3">
      <c r="A1" s="42" t="s">
        <v>64</v>
      </c>
      <c r="B1" s="1"/>
    </row>
    <row r="2" spans="1:3">
      <c r="A2" s="42" t="s">
        <v>65</v>
      </c>
      <c r="B2" s="1"/>
    </row>
    <row r="3" spans="1:3">
      <c r="A3" s="1"/>
      <c r="B3" s="1"/>
    </row>
    <row r="4" spans="1:3">
      <c r="A4" s="1" t="s">
        <v>27</v>
      </c>
      <c r="B4" s="1"/>
    </row>
    <row r="5" spans="1:3">
      <c r="A5" s="1"/>
      <c r="B5" s="1"/>
    </row>
    <row r="6" spans="1:3">
      <c r="A6" s="19" t="s">
        <v>140</v>
      </c>
      <c r="B6" s="1"/>
    </row>
    <row r="7" spans="1:3">
      <c r="A7" s="20" t="s">
        <v>141</v>
      </c>
      <c r="B7" s="1">
        <f>'Bill of Materials'!G27</f>
        <v>22.419999999999998</v>
      </c>
    </row>
    <row r="8" spans="1:3">
      <c r="A8" s="20" t="s">
        <v>288</v>
      </c>
      <c r="B8" s="1">
        <f>'Bill of Materials'!G44</f>
        <v>128.739</v>
      </c>
    </row>
    <row r="9" spans="1:3">
      <c r="A9" s="20" t="s">
        <v>28</v>
      </c>
      <c r="B9" s="1">
        <f>'Bill of Materials'!G48</f>
        <v>1.75</v>
      </c>
    </row>
    <row r="10" spans="1:3">
      <c r="A10" s="20" t="s">
        <v>213</v>
      </c>
      <c r="B10" s="1">
        <f>'Bill of Materials'!G50</f>
        <v>152.90899999999999</v>
      </c>
    </row>
    <row r="11" spans="1:3">
      <c r="A11" s="1"/>
      <c r="B11" s="1"/>
    </row>
    <row r="12" spans="1:3">
      <c r="A12" s="19" t="s">
        <v>214</v>
      </c>
      <c r="B12" s="32">
        <f>'Bill of Materials'!G51</f>
        <v>22.936349999999997</v>
      </c>
      <c r="C12" s="12"/>
    </row>
    <row r="13" spans="1:3">
      <c r="A13" s="19" t="s">
        <v>167</v>
      </c>
      <c r="B13" s="32">
        <f>'Bill of Materials'!G52</f>
        <v>42.814520000000002</v>
      </c>
      <c r="C13" s="12"/>
    </row>
    <row r="14" spans="1:3">
      <c r="A14" s="19" t="s">
        <v>215</v>
      </c>
      <c r="B14" s="32">
        <f>'Bill of Materials'!G53</f>
        <v>218.65987000000001</v>
      </c>
      <c r="C14" s="12"/>
    </row>
    <row r="15" spans="1:3">
      <c r="A15" s="19" t="s">
        <v>216</v>
      </c>
      <c r="B15" s="32">
        <f>'Bill of Materials'!G54</f>
        <v>87.463948000000016</v>
      </c>
      <c r="C15" s="14"/>
    </row>
    <row r="16" spans="1:3">
      <c r="A16" s="19" t="s">
        <v>217</v>
      </c>
      <c r="B16" s="32">
        <f>'Bill of Materials'!G55</f>
        <v>306.12381800000003</v>
      </c>
      <c r="C16" s="12"/>
    </row>
    <row r="17" spans="1:3">
      <c r="A17" s="19" t="s">
        <v>218</v>
      </c>
      <c r="B17" s="32">
        <f>'Bill of Materials'!G56</f>
        <v>0</v>
      </c>
      <c r="C17" s="13"/>
    </row>
    <row r="18" spans="1:3">
      <c r="A18" s="19" t="s">
        <v>219</v>
      </c>
      <c r="B18" s="32">
        <f>'Bill of Materials'!G57</f>
        <v>0</v>
      </c>
      <c r="C18" s="12"/>
    </row>
    <row r="19" spans="1:3">
      <c r="A19" s="19" t="s">
        <v>220</v>
      </c>
      <c r="B19" s="32">
        <f>'Bill of Materials'!G58</f>
        <v>101.02085994000001</v>
      </c>
      <c r="C19" s="14"/>
    </row>
    <row r="20" spans="1:3">
      <c r="A20" s="19" t="s">
        <v>221</v>
      </c>
      <c r="B20" s="32">
        <f>'Bill of Materials'!G59</f>
        <v>407.14467794000007</v>
      </c>
    </row>
    <row r="21" spans="1:3">
      <c r="A21" s="1"/>
      <c r="B21" s="1"/>
    </row>
    <row r="22" spans="1:3">
      <c r="A22" s="19" t="s">
        <v>222</v>
      </c>
      <c r="B22" s="1"/>
    </row>
    <row r="23" spans="1:3">
      <c r="A23" s="20" t="s">
        <v>241</v>
      </c>
      <c r="B23" s="1">
        <f>'Bill of Materials'!G64</f>
        <v>1.5</v>
      </c>
    </row>
    <row r="24" spans="1:3">
      <c r="A24" s="20" t="s">
        <v>243</v>
      </c>
      <c r="B24" s="1">
        <f>'Bill of Materials'!G77</f>
        <v>16.630000000000003</v>
      </c>
    </row>
    <row r="25" spans="1:3">
      <c r="A25" s="20" t="s">
        <v>252</v>
      </c>
      <c r="B25" s="1">
        <f>'Bill of Materials'!G80</f>
        <v>59.75</v>
      </c>
    </row>
    <row r="26" spans="1:3">
      <c r="A26" s="20" t="s">
        <v>29</v>
      </c>
      <c r="B26" s="1">
        <f>'Bill of Materials'!G85</f>
        <v>1.25</v>
      </c>
    </row>
    <row r="27" spans="1:3">
      <c r="A27" s="20" t="s">
        <v>253</v>
      </c>
      <c r="B27" s="1">
        <f>SUM(B23:B26)</f>
        <v>79.13</v>
      </c>
    </row>
    <row r="28" spans="1:3">
      <c r="A28" s="19"/>
      <c r="B28" s="1"/>
    </row>
    <row r="29" spans="1:3">
      <c r="A29" s="19" t="s">
        <v>214</v>
      </c>
      <c r="B29" s="32">
        <f>'Bill of Materials'!G88</f>
        <v>11.869499999999999</v>
      </c>
      <c r="C29" s="12"/>
    </row>
    <row r="30" spans="1:3">
      <c r="A30" s="19" t="s">
        <v>167</v>
      </c>
      <c r="B30" s="32">
        <f>'Bill of Materials'!G89</f>
        <v>22.156400000000001</v>
      </c>
      <c r="C30" s="12"/>
    </row>
    <row r="31" spans="1:3">
      <c r="A31" s="19" t="s">
        <v>215</v>
      </c>
      <c r="B31" s="32">
        <f>'Bill of Materials'!G90</f>
        <v>113.1559</v>
      </c>
      <c r="C31" s="12"/>
    </row>
    <row r="32" spans="1:3">
      <c r="A32" s="19" t="s">
        <v>216</v>
      </c>
      <c r="B32" s="32">
        <f>'Bill of Materials'!G91</f>
        <v>45.262360000000001</v>
      </c>
      <c r="C32" s="14"/>
    </row>
    <row r="33" spans="1:3">
      <c r="A33" s="19" t="s">
        <v>217</v>
      </c>
      <c r="B33" s="32">
        <f>'Bill of Materials'!G92</f>
        <v>158.41826</v>
      </c>
      <c r="C33" s="12"/>
    </row>
    <row r="34" spans="1:3">
      <c r="A34" s="19" t="s">
        <v>218</v>
      </c>
      <c r="B34" s="32">
        <f>'Bill of Materials'!G93</f>
        <v>0</v>
      </c>
      <c r="C34" s="14"/>
    </row>
    <row r="35" spans="1:3">
      <c r="A35" s="19" t="s">
        <v>219</v>
      </c>
      <c r="B35" s="32">
        <f>'Bill of Materials'!G94</f>
        <v>0</v>
      </c>
      <c r="C35" s="12"/>
    </row>
    <row r="36" spans="1:3">
      <c r="A36" s="19" t="s">
        <v>220</v>
      </c>
      <c r="B36" s="32">
        <f>'Bill of Materials'!G95</f>
        <v>52.278025800000002</v>
      </c>
      <c r="C36" s="14"/>
    </row>
    <row r="37" spans="1:3">
      <c r="A37" s="19" t="s">
        <v>221</v>
      </c>
      <c r="B37" s="32">
        <f>'Bill of Materials'!G96</f>
        <v>210.6962858</v>
      </c>
    </row>
    <row r="38" spans="1:3">
      <c r="A38" s="1"/>
      <c r="B38" s="1"/>
    </row>
    <row r="39" spans="1:3">
      <c r="A39" s="19" t="s">
        <v>256</v>
      </c>
      <c r="B39" s="1">
        <f>'Bill of Materials'!D100</f>
        <v>90.999499999999998</v>
      </c>
    </row>
    <row r="40" spans="1:3">
      <c r="A40" s="19" t="s">
        <v>257</v>
      </c>
      <c r="B40" s="1">
        <f>'Bill of Materials'!D101</f>
        <v>175.84535</v>
      </c>
    </row>
    <row r="41" spans="1:3">
      <c r="A41" s="19"/>
      <c r="B41" s="1"/>
    </row>
    <row r="42" spans="1:3">
      <c r="A42" s="19" t="s">
        <v>261</v>
      </c>
      <c r="B42" s="42">
        <f>'Bill of Materials'!D102</f>
        <v>266.84485000000001</v>
      </c>
    </row>
    <row r="43" spans="1:3">
      <c r="A43" s="19"/>
      <c r="B43" s="1"/>
    </row>
    <row r="44" spans="1:3">
      <c r="A44" s="19" t="s">
        <v>262</v>
      </c>
      <c r="B44" s="1">
        <f>'Bill of Materials'!D104</f>
        <v>464.54207800000006</v>
      </c>
    </row>
    <row r="45" spans="1:3">
      <c r="A45" s="19" t="s">
        <v>263</v>
      </c>
      <c r="B45" s="1">
        <f>'Bill of Materials'!D105</f>
        <v>617.84096374000001</v>
      </c>
    </row>
  </sheetData>
  <phoneticPr fontId="3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O23"/>
  <sheetViews>
    <sheetView zoomScale="125" workbookViewId="0">
      <pane xSplit="1" topLeftCell="B1" activePane="topRight" state="frozen"/>
      <selection pane="topRight" sqref="A1:A2"/>
    </sheetView>
  </sheetViews>
  <sheetFormatPr baseColWidth="10" defaultRowHeight="13"/>
  <cols>
    <col min="1" max="1" width="15.42578125" bestFit="1" customWidth="1"/>
  </cols>
  <sheetData>
    <row r="1" spans="1:15">
      <c r="A1" s="42" t="s">
        <v>64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42" t="s">
        <v>65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>
      <c r="A4" s="1"/>
      <c r="B4" s="19"/>
      <c r="C4" s="19"/>
      <c r="D4" s="19"/>
      <c r="E4" s="19"/>
      <c r="F4" s="19"/>
      <c r="G4" s="19"/>
      <c r="H4" s="19"/>
      <c r="I4" s="19"/>
      <c r="J4" s="19"/>
      <c r="K4" s="19"/>
      <c r="L4" s="1"/>
      <c r="M4" s="1"/>
      <c r="N4" s="1"/>
      <c r="O4" s="1"/>
    </row>
    <row r="5" spans="1:15">
      <c r="A5" s="1"/>
      <c r="B5" s="1"/>
      <c r="C5" s="1" t="s">
        <v>21</v>
      </c>
      <c r="D5" s="1" t="s">
        <v>22</v>
      </c>
      <c r="E5" s="1" t="s">
        <v>23</v>
      </c>
      <c r="F5" s="1" t="s">
        <v>24</v>
      </c>
      <c r="G5" s="1">
        <v>2009</v>
      </c>
      <c r="H5" s="1" t="s">
        <v>192</v>
      </c>
      <c r="I5" s="1" t="s">
        <v>193</v>
      </c>
      <c r="J5" s="1" t="s">
        <v>194</v>
      </c>
      <c r="K5" s="1" t="s">
        <v>195</v>
      </c>
      <c r="L5" s="1">
        <v>2010</v>
      </c>
      <c r="M5" s="1">
        <v>2011</v>
      </c>
      <c r="N5" s="1">
        <v>2012</v>
      </c>
      <c r="O5" s="1">
        <v>2013</v>
      </c>
    </row>
    <row r="6" spans="1: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>
      <c r="A7" s="30" t="s">
        <v>130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>
      <c r="A8" s="30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>
      <c r="A9" s="30" t="s">
        <v>131</v>
      </c>
      <c r="B9" s="1"/>
      <c r="C9" s="31"/>
      <c r="D9" s="31"/>
      <c r="E9" s="31"/>
      <c r="F9" s="31"/>
      <c r="G9" s="26">
        <v>1.5</v>
      </c>
      <c r="H9" s="26"/>
      <c r="I9" s="31"/>
      <c r="J9" s="26"/>
      <c r="K9" s="26"/>
      <c r="L9" s="26">
        <v>2</v>
      </c>
      <c r="M9" s="26">
        <v>6</v>
      </c>
      <c r="N9" s="26">
        <v>15</v>
      </c>
      <c r="O9" s="26">
        <v>30</v>
      </c>
    </row>
    <row r="10" spans="1:15">
      <c r="A10" s="30" t="s">
        <v>132</v>
      </c>
      <c r="B10" s="1"/>
      <c r="C10" s="31"/>
      <c r="D10" s="31"/>
      <c r="E10" s="31"/>
      <c r="F10" s="31"/>
      <c r="G10" s="26">
        <v>1.5</v>
      </c>
      <c r="H10" s="26"/>
      <c r="I10" s="31"/>
      <c r="J10" s="26"/>
      <c r="K10" s="26"/>
      <c r="L10" s="26">
        <v>1</v>
      </c>
      <c r="M10" s="26">
        <v>4</v>
      </c>
      <c r="N10" s="26">
        <v>7</v>
      </c>
      <c r="O10" s="26">
        <v>10</v>
      </c>
    </row>
    <row r="11" spans="1:15">
      <c r="A11" s="30" t="s">
        <v>133</v>
      </c>
      <c r="B11" s="1"/>
      <c r="C11" s="31"/>
      <c r="D11" s="31"/>
      <c r="E11" s="31"/>
      <c r="F11" s="31"/>
      <c r="G11" s="26">
        <v>1</v>
      </c>
      <c r="H11" s="26"/>
      <c r="I11" s="31"/>
      <c r="J11" s="26"/>
      <c r="K11" s="26"/>
      <c r="L11" s="26">
        <v>2</v>
      </c>
      <c r="M11" s="26">
        <v>10</v>
      </c>
      <c r="N11" s="26">
        <v>15</v>
      </c>
      <c r="O11" s="26">
        <v>30</v>
      </c>
    </row>
    <row r="12" spans="1:15">
      <c r="A12" s="30" t="s">
        <v>134</v>
      </c>
      <c r="B12" s="1"/>
      <c r="C12" s="31"/>
      <c r="D12" s="31"/>
      <c r="E12" s="31"/>
      <c r="F12" s="31"/>
      <c r="G12" s="26"/>
      <c r="H12" s="26"/>
      <c r="I12" s="31"/>
      <c r="J12" s="26"/>
      <c r="K12" s="26"/>
      <c r="L12" s="26"/>
      <c r="M12" s="26">
        <v>2</v>
      </c>
      <c r="N12" s="26">
        <v>4</v>
      </c>
      <c r="O12" s="26">
        <v>6</v>
      </c>
    </row>
    <row r="13" spans="1:15">
      <c r="A13" s="30" t="s">
        <v>135</v>
      </c>
      <c r="B13" s="1"/>
      <c r="C13" s="31"/>
      <c r="D13" s="31"/>
      <c r="E13" s="31"/>
      <c r="F13" s="31"/>
      <c r="G13" s="26"/>
      <c r="H13" s="26"/>
      <c r="I13" s="31"/>
      <c r="J13" s="26"/>
      <c r="K13" s="26"/>
      <c r="L13" s="26">
        <v>1</v>
      </c>
      <c r="M13" s="26">
        <v>3</v>
      </c>
      <c r="N13" s="26">
        <v>5</v>
      </c>
      <c r="O13" s="26">
        <v>5</v>
      </c>
    </row>
    <row r="14" spans="1:15">
      <c r="A14" s="30" t="s">
        <v>236</v>
      </c>
      <c r="B14" s="1"/>
      <c r="C14" s="31"/>
      <c r="D14" s="31"/>
      <c r="E14" s="31"/>
      <c r="F14" s="31"/>
      <c r="G14" s="26"/>
      <c r="H14" s="26"/>
      <c r="I14" s="31"/>
      <c r="J14" s="26"/>
      <c r="K14" s="26"/>
      <c r="L14" s="26">
        <v>2</v>
      </c>
      <c r="M14" s="26">
        <v>5</v>
      </c>
      <c r="N14" s="26">
        <v>15</v>
      </c>
      <c r="O14" s="26">
        <v>15</v>
      </c>
    </row>
    <row r="15" spans="1:15">
      <c r="A15" s="30" t="s">
        <v>235</v>
      </c>
      <c r="B15" s="1"/>
      <c r="C15" s="31"/>
      <c r="D15" s="31"/>
      <c r="E15" s="31"/>
      <c r="F15" s="31"/>
      <c r="G15" s="26"/>
      <c r="H15" s="26"/>
      <c r="I15" s="31"/>
      <c r="J15" s="26"/>
      <c r="K15" s="26"/>
      <c r="L15" s="26">
        <v>2</v>
      </c>
      <c r="M15" s="26">
        <v>3</v>
      </c>
      <c r="N15" s="26">
        <v>4</v>
      </c>
      <c r="O15" s="26">
        <v>4</v>
      </c>
    </row>
    <row r="16" spans="1:15">
      <c r="A16" s="30" t="s">
        <v>237</v>
      </c>
      <c r="B16" s="1"/>
      <c r="C16" s="31"/>
      <c r="D16" s="31"/>
      <c r="E16" s="31"/>
      <c r="F16" s="31"/>
      <c r="G16" s="26"/>
      <c r="H16" s="26"/>
      <c r="I16" s="31"/>
      <c r="J16" s="26"/>
      <c r="K16" s="26"/>
      <c r="L16" s="26">
        <v>8</v>
      </c>
      <c r="M16" s="26">
        <v>10</v>
      </c>
      <c r="N16" s="26">
        <v>25</v>
      </c>
      <c r="O16" s="26">
        <v>43</v>
      </c>
    </row>
    <row r="17" spans="1:15">
      <c r="A17" s="30" t="s">
        <v>234</v>
      </c>
      <c r="B17" s="1"/>
      <c r="C17" s="31"/>
      <c r="D17" s="31"/>
      <c r="E17" s="31"/>
      <c r="F17" s="31"/>
      <c r="G17" s="26"/>
      <c r="H17" s="26"/>
      <c r="I17" s="31"/>
      <c r="J17" s="26"/>
      <c r="K17" s="26"/>
      <c r="L17" s="26">
        <v>3</v>
      </c>
      <c r="M17" s="26">
        <v>3</v>
      </c>
      <c r="N17" s="26">
        <v>15</v>
      </c>
      <c r="O17" s="26">
        <v>40</v>
      </c>
    </row>
    <row r="18" spans="1:15">
      <c r="A18" s="30" t="s">
        <v>238</v>
      </c>
      <c r="B18" s="1"/>
      <c r="C18" s="31"/>
      <c r="D18" s="31"/>
      <c r="E18" s="31"/>
      <c r="F18" s="31"/>
      <c r="G18" s="26"/>
      <c r="H18" s="26"/>
      <c r="I18" s="31"/>
      <c r="J18" s="26"/>
      <c r="K18" s="26"/>
      <c r="L18" s="26">
        <v>3</v>
      </c>
      <c r="M18" s="26">
        <v>3</v>
      </c>
      <c r="N18" s="26">
        <v>15</v>
      </c>
      <c r="O18" s="26">
        <v>40</v>
      </c>
    </row>
    <row r="19" spans="1:15">
      <c r="A19" s="30"/>
      <c r="B19" s="1"/>
      <c r="C19" s="31"/>
      <c r="D19" s="31"/>
      <c r="E19" s="31"/>
      <c r="F19" s="31"/>
      <c r="G19" s="26"/>
      <c r="H19" s="26"/>
      <c r="I19" s="26"/>
      <c r="J19" s="26"/>
      <c r="K19" s="26"/>
      <c r="L19" s="26"/>
      <c r="M19" s="26"/>
      <c r="N19" s="26"/>
      <c r="O19" s="26"/>
    </row>
    <row r="20" spans="1:15">
      <c r="A20" s="30" t="s">
        <v>137</v>
      </c>
      <c r="B20" s="1"/>
      <c r="C20" s="31"/>
      <c r="D20" s="31"/>
      <c r="E20" s="31"/>
      <c r="F20" s="31"/>
      <c r="G20" s="26">
        <v>1</v>
      </c>
      <c r="H20" s="26">
        <f t="shared" ref="H20:K20" si="0">SUM(H9:H19)</f>
        <v>0</v>
      </c>
      <c r="I20" s="26">
        <f t="shared" si="0"/>
        <v>0</v>
      </c>
      <c r="J20" s="26">
        <f t="shared" si="0"/>
        <v>0</v>
      </c>
      <c r="K20" s="26">
        <f t="shared" si="0"/>
        <v>0</v>
      </c>
      <c r="L20" s="26">
        <v>6</v>
      </c>
      <c r="M20" s="26">
        <v>6</v>
      </c>
      <c r="N20" s="26">
        <v>6</v>
      </c>
      <c r="O20" s="26">
        <v>6</v>
      </c>
    </row>
    <row r="21" spans="1:15">
      <c r="A21" s="30" t="s">
        <v>25</v>
      </c>
      <c r="B21" s="1"/>
      <c r="C21" s="31"/>
      <c r="D21" s="31"/>
      <c r="E21" s="31"/>
      <c r="F21" s="31"/>
      <c r="G21" s="26">
        <f>SUM(G9:G18)</f>
        <v>4</v>
      </c>
      <c r="H21" s="26"/>
      <c r="I21" s="26"/>
      <c r="J21" s="26"/>
      <c r="K21" s="26"/>
      <c r="L21" s="26">
        <f>SUM(L9:L20)</f>
        <v>30</v>
      </c>
      <c r="M21" s="26">
        <f t="shared" ref="M21:O21" si="1">SUM(M9:M20)</f>
        <v>55</v>
      </c>
      <c r="N21" s="26">
        <f t="shared" si="1"/>
        <v>126</v>
      </c>
      <c r="O21" s="26">
        <f t="shared" si="1"/>
        <v>229</v>
      </c>
    </row>
    <row r="22" spans="1:15">
      <c r="A22" s="30"/>
      <c r="B22" s="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</row>
    <row r="23" spans="1:15">
      <c r="A23" s="30" t="s">
        <v>26</v>
      </c>
      <c r="B23" s="1"/>
      <c r="C23" s="31"/>
      <c r="D23" s="31"/>
      <c r="E23" s="31"/>
      <c r="F23" s="31"/>
      <c r="G23" s="31">
        <f>G21-G20</f>
        <v>3</v>
      </c>
      <c r="H23" s="31">
        <f t="shared" ref="H23:O23" si="2">H21-H20</f>
        <v>0</v>
      </c>
      <c r="I23" s="31">
        <f t="shared" si="2"/>
        <v>0</v>
      </c>
      <c r="J23" s="31">
        <f t="shared" si="2"/>
        <v>0</v>
      </c>
      <c r="K23" s="31">
        <f t="shared" si="2"/>
        <v>0</v>
      </c>
      <c r="L23" s="31">
        <f t="shared" si="2"/>
        <v>24</v>
      </c>
      <c r="M23" s="31">
        <f t="shared" si="2"/>
        <v>49</v>
      </c>
      <c r="N23" s="31">
        <f t="shared" si="2"/>
        <v>120</v>
      </c>
      <c r="O23" s="31">
        <f t="shared" si="2"/>
        <v>223</v>
      </c>
    </row>
  </sheetData>
  <phoneticPr fontId="3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L108"/>
  <sheetViews>
    <sheetView zoomScale="125" workbookViewId="0">
      <selection sqref="A1:A2"/>
    </sheetView>
  </sheetViews>
  <sheetFormatPr baseColWidth="10" defaultRowHeight="13"/>
  <cols>
    <col min="1" max="1" width="19.7109375" style="11" bestFit="1" customWidth="1"/>
    <col min="2" max="7" width="10.7109375" style="11"/>
    <col min="8" max="8" width="12" bestFit="1" customWidth="1"/>
    <col min="9" max="9" width="14.28515625" bestFit="1" customWidth="1"/>
    <col min="10" max="10" width="14.42578125" bestFit="1" customWidth="1"/>
    <col min="11" max="11" width="14.28515625" bestFit="1" customWidth="1"/>
  </cols>
  <sheetData>
    <row r="1" spans="1:12">
      <c r="A1" s="42" t="s">
        <v>64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>
      <c r="A2" s="42" t="s">
        <v>65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>
      <c r="A4" s="1" t="s">
        <v>240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2">
      <c r="A5" s="1"/>
      <c r="B5" s="24"/>
      <c r="C5" s="24"/>
      <c r="D5" s="24"/>
      <c r="E5" s="24"/>
      <c r="F5" s="24"/>
      <c r="G5" s="24"/>
      <c r="H5" s="24"/>
      <c r="I5" s="24"/>
      <c r="J5" s="24"/>
      <c r="K5" s="24"/>
    </row>
    <row r="6" spans="1:12">
      <c r="A6" s="19" t="s">
        <v>265</v>
      </c>
      <c r="B6" s="19" t="s">
        <v>275</v>
      </c>
      <c r="C6" s="19" t="s">
        <v>276</v>
      </c>
      <c r="D6" s="19" t="s">
        <v>277</v>
      </c>
      <c r="E6" s="19" t="s">
        <v>278</v>
      </c>
      <c r="F6" s="19" t="s">
        <v>279</v>
      </c>
      <c r="G6" s="19" t="s">
        <v>280</v>
      </c>
      <c r="H6" s="19" t="s">
        <v>281</v>
      </c>
      <c r="I6" s="19" t="s">
        <v>282</v>
      </c>
      <c r="J6" s="19" t="s">
        <v>138</v>
      </c>
      <c r="K6" s="19" t="s">
        <v>139</v>
      </c>
      <c r="L6" s="11"/>
    </row>
    <row r="7" spans="1:12">
      <c r="A7" s="19"/>
      <c r="B7" s="19" t="s">
        <v>140</v>
      </c>
      <c r="C7" s="19"/>
      <c r="D7" s="19"/>
      <c r="E7" s="19"/>
      <c r="F7" s="19"/>
      <c r="G7" s="19"/>
      <c r="H7" s="19"/>
      <c r="I7" s="19"/>
      <c r="J7" s="19"/>
      <c r="K7" s="19"/>
      <c r="L7" s="11"/>
    </row>
    <row r="8" spans="1:12">
      <c r="A8" s="19"/>
      <c r="B8" s="19"/>
      <c r="C8" s="19" t="s">
        <v>141</v>
      </c>
      <c r="D8" s="19"/>
      <c r="E8" s="25"/>
      <c r="F8" s="25"/>
      <c r="G8" s="25"/>
      <c r="H8" s="25"/>
      <c r="I8" s="19"/>
      <c r="J8" s="19"/>
      <c r="K8" s="19"/>
      <c r="L8" s="11"/>
    </row>
    <row r="9" spans="1:12">
      <c r="A9" s="19"/>
      <c r="B9" s="19"/>
      <c r="C9" s="19" t="s">
        <v>142</v>
      </c>
      <c r="D9" s="19"/>
      <c r="E9" s="25">
        <v>2</v>
      </c>
      <c r="F9" s="25">
        <v>2.75</v>
      </c>
      <c r="G9" s="25">
        <f t="shared" ref="G8:G26" si="0">E9*F9</f>
        <v>5.5</v>
      </c>
      <c r="H9" s="25"/>
      <c r="I9" s="26">
        <v>60000</v>
      </c>
      <c r="J9" s="26">
        <v>30000</v>
      </c>
      <c r="K9" s="26">
        <v>2000</v>
      </c>
      <c r="L9" s="11"/>
    </row>
    <row r="10" spans="1:12">
      <c r="A10" s="19"/>
      <c r="B10" s="19"/>
      <c r="C10" s="19" t="s">
        <v>143</v>
      </c>
      <c r="D10" s="19"/>
      <c r="E10" s="25">
        <v>1</v>
      </c>
      <c r="F10" s="25">
        <v>2.25</v>
      </c>
      <c r="G10" s="25">
        <f t="shared" si="0"/>
        <v>2.25</v>
      </c>
      <c r="H10" s="25"/>
      <c r="I10" s="26"/>
      <c r="J10" s="26"/>
      <c r="K10" s="26"/>
      <c r="L10" s="11"/>
    </row>
    <row r="11" spans="1:12">
      <c r="A11" s="19"/>
      <c r="B11" s="19"/>
      <c r="C11" s="19" t="s">
        <v>144</v>
      </c>
      <c r="D11" s="19"/>
      <c r="E11" s="25">
        <v>8</v>
      </c>
      <c r="F11" s="25">
        <v>0.1</v>
      </c>
      <c r="G11" s="25">
        <f t="shared" si="0"/>
        <v>0.8</v>
      </c>
      <c r="H11" s="25"/>
      <c r="I11" s="26"/>
      <c r="J11" s="26"/>
      <c r="K11" s="26"/>
      <c r="L11" s="11"/>
    </row>
    <row r="12" spans="1:12">
      <c r="A12" s="19"/>
      <c r="B12" s="19"/>
      <c r="C12" s="19" t="s">
        <v>145</v>
      </c>
      <c r="D12" s="19"/>
      <c r="E12" s="25">
        <v>1</v>
      </c>
      <c r="F12" s="25">
        <v>2.5</v>
      </c>
      <c r="G12" s="25">
        <f t="shared" si="0"/>
        <v>2.5</v>
      </c>
      <c r="H12" s="25"/>
      <c r="I12" s="26">
        <v>30000</v>
      </c>
      <c r="J12" s="26">
        <v>15000</v>
      </c>
      <c r="K12" s="26">
        <v>1000</v>
      </c>
      <c r="L12" s="11"/>
    </row>
    <row r="13" spans="1:12">
      <c r="A13" s="19"/>
      <c r="B13" s="19"/>
      <c r="C13" s="19" t="s">
        <v>146</v>
      </c>
      <c r="D13" s="19"/>
      <c r="E13" s="25">
        <v>2</v>
      </c>
      <c r="F13" s="25">
        <v>0.2</v>
      </c>
      <c r="G13" s="25">
        <f t="shared" si="0"/>
        <v>0.4</v>
      </c>
      <c r="H13" s="25"/>
      <c r="I13" s="26"/>
      <c r="J13" s="26"/>
      <c r="K13" s="26"/>
      <c r="L13" s="11"/>
    </row>
    <row r="14" spans="1:12">
      <c r="A14" s="19"/>
      <c r="B14" s="19"/>
      <c r="C14" s="19" t="s">
        <v>147</v>
      </c>
      <c r="D14" s="19"/>
      <c r="E14" s="25">
        <v>1</v>
      </c>
      <c r="F14" s="25">
        <v>2.25</v>
      </c>
      <c r="G14" s="25">
        <f t="shared" si="0"/>
        <v>2.25</v>
      </c>
      <c r="H14" s="25"/>
      <c r="I14" s="26">
        <v>14000</v>
      </c>
      <c r="J14" s="26">
        <v>4000</v>
      </c>
      <c r="K14" s="26">
        <v>600</v>
      </c>
      <c r="L14" s="11"/>
    </row>
    <row r="15" spans="1:12">
      <c r="A15" s="19"/>
      <c r="B15" s="19"/>
      <c r="C15" s="19" t="s">
        <v>148</v>
      </c>
      <c r="D15" s="19"/>
      <c r="E15" s="25">
        <v>1</v>
      </c>
      <c r="F15" s="25">
        <v>1.25</v>
      </c>
      <c r="G15" s="25">
        <f t="shared" si="0"/>
        <v>1.25</v>
      </c>
      <c r="H15" s="25"/>
      <c r="I15" s="26"/>
      <c r="J15" s="26"/>
      <c r="K15" s="26"/>
      <c r="L15" s="11"/>
    </row>
    <row r="16" spans="1:12">
      <c r="A16" s="19"/>
      <c r="B16" s="19"/>
      <c r="C16" s="19" t="s">
        <v>149</v>
      </c>
      <c r="D16" s="19"/>
      <c r="E16" s="25">
        <v>1</v>
      </c>
      <c r="F16" s="25">
        <v>0.25</v>
      </c>
      <c r="G16" s="25">
        <f t="shared" si="0"/>
        <v>0.25</v>
      </c>
      <c r="H16" s="25"/>
      <c r="I16" s="26"/>
      <c r="J16" s="26"/>
      <c r="K16" s="26"/>
      <c r="L16" s="11"/>
    </row>
    <row r="17" spans="1:12">
      <c r="A17" s="19"/>
      <c r="B17" s="19"/>
      <c r="C17" s="19" t="s">
        <v>150</v>
      </c>
      <c r="D17" s="19"/>
      <c r="E17" s="25">
        <v>2</v>
      </c>
      <c r="F17" s="25">
        <v>0.1</v>
      </c>
      <c r="G17" s="25">
        <f t="shared" si="0"/>
        <v>0.2</v>
      </c>
      <c r="H17" s="25"/>
      <c r="I17" s="26"/>
      <c r="J17" s="26"/>
      <c r="K17" s="26"/>
      <c r="L17" s="11"/>
    </row>
    <row r="18" spans="1:12">
      <c r="A18" s="19"/>
      <c r="B18" s="19"/>
      <c r="C18" s="19" t="s">
        <v>151</v>
      </c>
      <c r="D18" s="19"/>
      <c r="E18" s="25">
        <v>4</v>
      </c>
      <c r="F18" s="25">
        <v>0.02</v>
      </c>
      <c r="G18" s="25">
        <f t="shared" si="0"/>
        <v>0.08</v>
      </c>
      <c r="H18" s="25"/>
      <c r="I18" s="26"/>
      <c r="J18" s="26"/>
      <c r="K18" s="26"/>
      <c r="L18" s="11"/>
    </row>
    <row r="19" spans="1:12">
      <c r="A19" s="19"/>
      <c r="B19" s="19"/>
      <c r="C19" s="19" t="s">
        <v>152</v>
      </c>
      <c r="D19" s="19"/>
      <c r="E19" s="25">
        <v>1</v>
      </c>
      <c r="F19" s="25">
        <v>0.6</v>
      </c>
      <c r="G19" s="25">
        <f t="shared" si="0"/>
        <v>0.6</v>
      </c>
      <c r="H19" s="25"/>
      <c r="I19" s="26">
        <v>12000</v>
      </c>
      <c r="J19" s="26">
        <v>8000</v>
      </c>
      <c r="K19" s="26">
        <v>1200</v>
      </c>
      <c r="L19" s="11"/>
    </row>
    <row r="20" spans="1:12">
      <c r="A20" s="19"/>
      <c r="B20" s="19"/>
      <c r="C20" s="19" t="s">
        <v>153</v>
      </c>
      <c r="D20" s="19"/>
      <c r="E20" s="25">
        <v>1</v>
      </c>
      <c r="F20" s="25">
        <v>0.2</v>
      </c>
      <c r="G20" s="25">
        <f t="shared" si="0"/>
        <v>0.2</v>
      </c>
      <c r="H20" s="25"/>
      <c r="I20" s="26">
        <v>4000</v>
      </c>
      <c r="J20" s="26">
        <v>2000</v>
      </c>
      <c r="K20" s="26">
        <v>600</v>
      </c>
      <c r="L20" s="11"/>
    </row>
    <row r="21" spans="1:12">
      <c r="A21" s="19"/>
      <c r="B21" s="19"/>
      <c r="C21" s="19" t="s">
        <v>154</v>
      </c>
      <c r="D21" s="19"/>
      <c r="E21" s="25">
        <v>4</v>
      </c>
      <c r="F21" s="25">
        <v>0.05</v>
      </c>
      <c r="G21" s="25">
        <f t="shared" si="0"/>
        <v>0.2</v>
      </c>
      <c r="H21" s="25"/>
      <c r="I21" s="26"/>
      <c r="J21" s="26"/>
      <c r="K21" s="26"/>
      <c r="L21" s="11"/>
    </row>
    <row r="22" spans="1:12">
      <c r="A22" s="19"/>
      <c r="B22" s="19"/>
      <c r="C22" s="19" t="s">
        <v>155</v>
      </c>
      <c r="D22" s="19"/>
      <c r="E22" s="25">
        <v>1</v>
      </c>
      <c r="F22" s="25">
        <v>0.25</v>
      </c>
      <c r="G22" s="25">
        <f t="shared" si="0"/>
        <v>0.25</v>
      </c>
      <c r="H22" s="25"/>
      <c r="I22" s="26"/>
      <c r="J22" s="26"/>
      <c r="K22" s="26"/>
      <c r="L22" s="11"/>
    </row>
    <row r="23" spans="1:12">
      <c r="A23" s="19"/>
      <c r="B23" s="19"/>
      <c r="C23" s="19" t="s">
        <v>156</v>
      </c>
      <c r="D23" s="19"/>
      <c r="E23" s="25">
        <v>2</v>
      </c>
      <c r="F23" s="25">
        <v>7.0000000000000007E-2</v>
      </c>
      <c r="G23" s="25">
        <f t="shared" si="0"/>
        <v>0.14000000000000001</v>
      </c>
      <c r="H23" s="25"/>
      <c r="I23" s="26"/>
      <c r="J23" s="26"/>
      <c r="K23" s="26"/>
      <c r="L23" s="11"/>
    </row>
    <row r="24" spans="1:12">
      <c r="A24" s="19"/>
      <c r="B24" s="19"/>
      <c r="C24" s="19" t="s">
        <v>157</v>
      </c>
      <c r="D24" s="19"/>
      <c r="E24" s="25">
        <v>2</v>
      </c>
      <c r="F24" s="25">
        <v>0.2</v>
      </c>
      <c r="G24" s="25">
        <f t="shared" si="0"/>
        <v>0.4</v>
      </c>
      <c r="H24" s="25"/>
      <c r="I24" s="26"/>
      <c r="J24" s="26"/>
      <c r="K24" s="26"/>
      <c r="L24" s="11"/>
    </row>
    <row r="25" spans="1:12">
      <c r="A25" s="19"/>
      <c r="B25" s="19"/>
      <c r="C25" s="19" t="s">
        <v>285</v>
      </c>
      <c r="D25" s="19"/>
      <c r="E25" s="25">
        <v>1</v>
      </c>
      <c r="F25" s="25">
        <v>0.15</v>
      </c>
      <c r="G25" s="25">
        <f t="shared" si="0"/>
        <v>0.15</v>
      </c>
      <c r="H25" s="25"/>
      <c r="I25" s="26"/>
      <c r="J25" s="26"/>
      <c r="K25" s="26"/>
      <c r="L25" s="11"/>
    </row>
    <row r="26" spans="1:12">
      <c r="A26" s="19"/>
      <c r="B26" s="19"/>
      <c r="C26" s="19" t="s">
        <v>286</v>
      </c>
      <c r="D26" s="19"/>
      <c r="E26" s="25">
        <v>1</v>
      </c>
      <c r="F26" s="25">
        <v>5</v>
      </c>
      <c r="G26" s="25">
        <f t="shared" si="0"/>
        <v>5</v>
      </c>
      <c r="H26" s="25"/>
      <c r="I26" s="26"/>
      <c r="J26" s="26"/>
      <c r="K26" s="26"/>
      <c r="L26" s="11"/>
    </row>
    <row r="27" spans="1:12">
      <c r="A27" s="19"/>
      <c r="B27" s="19"/>
      <c r="C27" s="19" t="s">
        <v>287</v>
      </c>
      <c r="D27" s="19"/>
      <c r="E27" s="25"/>
      <c r="F27" s="25"/>
      <c r="G27" s="25">
        <f>SUM(G8:G26)</f>
        <v>22.419999999999998</v>
      </c>
      <c r="H27" s="25"/>
      <c r="I27" s="26"/>
      <c r="J27" s="26"/>
      <c r="K27" s="26"/>
      <c r="L27" s="11"/>
    </row>
    <row r="28" spans="1:12">
      <c r="A28" s="19"/>
      <c r="B28" s="19"/>
      <c r="C28" s="19"/>
      <c r="D28" s="19"/>
      <c r="E28" s="25"/>
      <c r="F28" s="25"/>
      <c r="G28" s="25"/>
      <c r="H28" s="25"/>
      <c r="I28" s="26"/>
      <c r="J28" s="26"/>
      <c r="K28" s="26"/>
      <c r="L28" s="11"/>
    </row>
    <row r="29" spans="1:12">
      <c r="A29" s="19"/>
      <c r="B29" s="19"/>
      <c r="C29" s="19"/>
      <c r="D29" s="19" t="s">
        <v>288</v>
      </c>
      <c r="E29" s="25"/>
      <c r="F29" s="25"/>
      <c r="G29" s="25"/>
      <c r="H29" s="25"/>
      <c r="I29" s="26"/>
      <c r="J29" s="26"/>
      <c r="K29" s="26"/>
      <c r="L29" s="11"/>
    </row>
    <row r="30" spans="1:12">
      <c r="A30" s="19"/>
      <c r="B30" s="19"/>
      <c r="C30" s="19"/>
      <c r="D30" s="19" t="s">
        <v>289</v>
      </c>
      <c r="E30" s="25">
        <v>1</v>
      </c>
      <c r="F30" s="25"/>
      <c r="G30" s="25"/>
      <c r="H30" s="25"/>
      <c r="I30" s="26"/>
      <c r="J30" s="26"/>
      <c r="K30" s="26"/>
      <c r="L30" s="11"/>
    </row>
    <row r="31" spans="1:12">
      <c r="A31" s="19"/>
      <c r="B31" s="19"/>
      <c r="C31" s="19"/>
      <c r="D31" s="19" t="s">
        <v>290</v>
      </c>
      <c r="E31" s="25">
        <v>1</v>
      </c>
      <c r="F31" s="25">
        <v>5</v>
      </c>
      <c r="G31" s="25">
        <f t="shared" ref="G31:G42" si="1">E31*F31</f>
        <v>5</v>
      </c>
      <c r="H31" s="25"/>
      <c r="I31" s="26"/>
      <c r="J31" s="26"/>
      <c r="K31" s="26"/>
      <c r="L31" s="11"/>
    </row>
    <row r="32" spans="1:12">
      <c r="A32" s="19"/>
      <c r="B32" s="19"/>
      <c r="C32" s="19"/>
      <c r="D32" s="19" t="s">
        <v>291</v>
      </c>
      <c r="E32" s="25">
        <v>2</v>
      </c>
      <c r="F32" s="25">
        <v>0.75</v>
      </c>
      <c r="G32" s="25">
        <f t="shared" si="1"/>
        <v>1.5</v>
      </c>
      <c r="H32" s="25"/>
      <c r="I32" s="26"/>
      <c r="J32" s="26"/>
      <c r="K32" s="26"/>
      <c r="L32" s="11"/>
    </row>
    <row r="33" spans="1:12">
      <c r="A33" s="19"/>
      <c r="B33" s="19"/>
      <c r="C33" s="19"/>
      <c r="D33" s="19" t="s">
        <v>292</v>
      </c>
      <c r="E33" s="25">
        <v>20</v>
      </c>
      <c r="F33" s="25">
        <v>3.5</v>
      </c>
      <c r="G33" s="25">
        <f t="shared" si="1"/>
        <v>70</v>
      </c>
      <c r="H33" s="25"/>
      <c r="I33" s="26"/>
      <c r="J33" s="26"/>
      <c r="K33" s="26"/>
      <c r="L33" s="11"/>
    </row>
    <row r="34" spans="1:12">
      <c r="A34" s="19"/>
      <c r="B34" s="19"/>
      <c r="C34" s="19"/>
      <c r="D34" s="19" t="s">
        <v>293</v>
      </c>
      <c r="E34" s="25">
        <v>19</v>
      </c>
      <c r="F34" s="25">
        <v>0.5</v>
      </c>
      <c r="G34" s="25">
        <f t="shared" si="1"/>
        <v>9.5</v>
      </c>
      <c r="H34" s="25"/>
      <c r="I34" s="26"/>
      <c r="J34" s="26"/>
      <c r="K34" s="26"/>
      <c r="L34" s="11"/>
    </row>
    <row r="35" spans="1:12">
      <c r="A35" s="19"/>
      <c r="B35" s="19"/>
      <c r="C35" s="19"/>
      <c r="D35" s="19" t="s">
        <v>294</v>
      </c>
      <c r="E35" s="25">
        <v>2</v>
      </c>
      <c r="F35" s="25">
        <v>0.12</v>
      </c>
      <c r="G35" s="25">
        <f t="shared" si="1"/>
        <v>0.24</v>
      </c>
      <c r="H35" s="25"/>
      <c r="I35" s="26"/>
      <c r="J35" s="26"/>
      <c r="K35" s="26"/>
      <c r="L35" s="11"/>
    </row>
    <row r="36" spans="1:12">
      <c r="A36" s="19"/>
      <c r="B36" s="19"/>
      <c r="C36" s="19"/>
      <c r="D36" s="19" t="s">
        <v>295</v>
      </c>
      <c r="E36" s="25">
        <v>2</v>
      </c>
      <c r="F36" s="25">
        <v>0.02</v>
      </c>
      <c r="G36" s="25">
        <f t="shared" si="1"/>
        <v>0.04</v>
      </c>
      <c r="H36" s="25"/>
      <c r="I36" s="26"/>
      <c r="J36" s="26"/>
      <c r="K36" s="26"/>
      <c r="L36" s="11"/>
    </row>
    <row r="37" spans="1:12">
      <c r="A37" s="19"/>
      <c r="B37" s="19"/>
      <c r="C37" s="19"/>
      <c r="D37" s="19" t="s">
        <v>296</v>
      </c>
      <c r="E37" s="25">
        <v>1</v>
      </c>
      <c r="F37" s="25">
        <v>0.75</v>
      </c>
      <c r="G37" s="25">
        <f t="shared" si="1"/>
        <v>0.75</v>
      </c>
      <c r="H37" s="25"/>
      <c r="I37" s="26"/>
      <c r="J37" s="26"/>
      <c r="K37" s="26"/>
      <c r="L37" s="11"/>
    </row>
    <row r="38" spans="1:12">
      <c r="A38" s="19"/>
      <c r="B38" s="19"/>
      <c r="C38" s="19"/>
      <c r="D38" s="19" t="s">
        <v>297</v>
      </c>
      <c r="E38" s="25">
        <v>1</v>
      </c>
      <c r="F38" s="25">
        <v>0.5</v>
      </c>
      <c r="G38" s="25">
        <f t="shared" si="1"/>
        <v>0.5</v>
      </c>
      <c r="H38" s="25"/>
      <c r="I38" s="26"/>
      <c r="J38" s="26"/>
      <c r="K38" s="26"/>
      <c r="L38" s="11"/>
    </row>
    <row r="39" spans="1:12">
      <c r="A39" s="19"/>
      <c r="B39" s="19"/>
      <c r="C39" s="19"/>
      <c r="D39" s="19" t="s">
        <v>298</v>
      </c>
      <c r="E39" s="25">
        <v>1</v>
      </c>
      <c r="F39" s="25">
        <v>0.5</v>
      </c>
      <c r="G39" s="25">
        <f t="shared" si="1"/>
        <v>0.5</v>
      </c>
      <c r="H39" s="25"/>
      <c r="I39" s="26"/>
      <c r="J39" s="26"/>
      <c r="K39" s="26"/>
      <c r="L39" s="11"/>
    </row>
    <row r="40" spans="1:12">
      <c r="A40" s="19"/>
      <c r="B40" s="19"/>
      <c r="C40" s="19"/>
      <c r="D40" s="19" t="s">
        <v>208</v>
      </c>
      <c r="E40" s="25">
        <v>1</v>
      </c>
      <c r="F40" s="25">
        <v>0.5</v>
      </c>
      <c r="G40" s="25">
        <f t="shared" si="1"/>
        <v>0.5</v>
      </c>
      <c r="H40" s="25"/>
      <c r="I40" s="26"/>
      <c r="J40" s="26"/>
      <c r="K40" s="26"/>
      <c r="L40" s="11"/>
    </row>
    <row r="41" spans="1:12">
      <c r="A41" s="19"/>
      <c r="B41" s="19"/>
      <c r="C41" s="19"/>
      <c r="D41" s="19" t="s">
        <v>209</v>
      </c>
      <c r="E41" s="25">
        <v>1</v>
      </c>
      <c r="F41" s="25">
        <v>0.5</v>
      </c>
      <c r="G41" s="25">
        <f t="shared" si="1"/>
        <v>0.5</v>
      </c>
      <c r="H41" s="25"/>
      <c r="I41" s="26"/>
      <c r="J41" s="26"/>
      <c r="K41" s="26"/>
      <c r="L41" s="11"/>
    </row>
    <row r="42" spans="1:12">
      <c r="A42" s="19"/>
      <c r="B42" s="19"/>
      <c r="C42" s="19"/>
      <c r="D42" s="19" t="s">
        <v>275</v>
      </c>
      <c r="E42" s="25">
        <v>1</v>
      </c>
      <c r="F42" s="25">
        <v>10</v>
      </c>
      <c r="G42" s="25">
        <f t="shared" si="1"/>
        <v>10</v>
      </c>
      <c r="H42" s="25"/>
      <c r="I42" s="26"/>
      <c r="J42" s="26"/>
      <c r="K42" s="26"/>
      <c r="L42" s="11"/>
    </row>
    <row r="43" spans="1:12">
      <c r="A43" s="19"/>
      <c r="B43" s="19"/>
      <c r="C43" s="19"/>
      <c r="D43" s="19" t="s">
        <v>210</v>
      </c>
      <c r="E43" s="25"/>
      <c r="F43" s="25"/>
      <c r="G43" s="25">
        <f>SUM(G31:G42)*0.3</f>
        <v>29.709</v>
      </c>
      <c r="H43" s="25"/>
      <c r="I43" s="26"/>
      <c r="J43" s="26"/>
      <c r="K43" s="26"/>
      <c r="L43" s="11"/>
    </row>
    <row r="44" spans="1:12">
      <c r="A44" s="19"/>
      <c r="B44" s="19"/>
      <c r="C44" s="19"/>
      <c r="D44" s="19" t="s">
        <v>287</v>
      </c>
      <c r="E44" s="25"/>
      <c r="F44" s="25"/>
      <c r="G44" s="25">
        <f>SUM(G31:G43)</f>
        <v>128.739</v>
      </c>
      <c r="H44" s="25"/>
      <c r="I44" s="26"/>
      <c r="J44" s="26"/>
      <c r="K44" s="26"/>
      <c r="L44" s="11"/>
    </row>
    <row r="45" spans="1:12">
      <c r="A45" s="19"/>
      <c r="B45" s="19"/>
      <c r="C45" s="19" t="s">
        <v>16</v>
      </c>
      <c r="D45" s="19"/>
      <c r="E45" s="25"/>
      <c r="F45" s="25"/>
      <c r="G45" s="25"/>
      <c r="H45" s="25"/>
      <c r="I45" s="26"/>
      <c r="J45" s="26"/>
      <c r="K45" s="26"/>
      <c r="L45" s="11"/>
    </row>
    <row r="46" spans="1:12">
      <c r="A46" s="19"/>
      <c r="B46" s="19"/>
      <c r="C46" s="19" t="s">
        <v>211</v>
      </c>
      <c r="D46" s="19"/>
      <c r="E46" s="25">
        <v>1</v>
      </c>
      <c r="F46" s="25">
        <v>1</v>
      </c>
      <c r="G46" s="25">
        <f>F46*E46</f>
        <v>1</v>
      </c>
      <c r="H46" s="25"/>
      <c r="I46" s="26"/>
      <c r="J46" s="26"/>
      <c r="K46" s="26"/>
      <c r="L46" s="11"/>
    </row>
    <row r="47" spans="1:12">
      <c r="A47" s="19"/>
      <c r="B47" s="19"/>
      <c r="C47" s="19" t="s">
        <v>212</v>
      </c>
      <c r="D47" s="19"/>
      <c r="E47" s="25">
        <v>1</v>
      </c>
      <c r="F47" s="25">
        <v>0.75</v>
      </c>
      <c r="G47" s="25">
        <f>F47*E47</f>
        <v>0.75</v>
      </c>
      <c r="H47" s="25"/>
      <c r="I47" s="26"/>
      <c r="J47" s="26"/>
      <c r="K47" s="26"/>
      <c r="L47" s="11"/>
    </row>
    <row r="48" spans="1:12">
      <c r="A48" s="19"/>
      <c r="B48" s="19"/>
      <c r="C48" s="19" t="s">
        <v>17</v>
      </c>
      <c r="D48" s="19"/>
      <c r="E48" s="25"/>
      <c r="F48" s="25"/>
      <c r="G48" s="25">
        <f>SUM(G46:G47)</f>
        <v>1.75</v>
      </c>
      <c r="H48" s="25"/>
      <c r="I48" s="26"/>
      <c r="J48" s="26"/>
      <c r="K48" s="26"/>
      <c r="L48" s="11"/>
    </row>
    <row r="49" spans="1:12">
      <c r="A49" s="19"/>
      <c r="B49" s="19"/>
      <c r="C49" s="19"/>
      <c r="D49" s="19"/>
      <c r="E49" s="25"/>
      <c r="F49" s="25"/>
      <c r="G49" s="25"/>
      <c r="H49" s="25"/>
      <c r="I49" s="26"/>
      <c r="J49" s="26"/>
      <c r="K49" s="26"/>
      <c r="L49" s="11"/>
    </row>
    <row r="50" spans="1:12">
      <c r="A50" s="19" t="s">
        <v>213</v>
      </c>
      <c r="B50" s="19"/>
      <c r="C50" s="19"/>
      <c r="D50" s="19"/>
      <c r="E50" s="25"/>
      <c r="F50" s="25"/>
      <c r="G50" s="25">
        <f>G48+G44+G27</f>
        <v>152.90899999999999</v>
      </c>
      <c r="H50" s="25"/>
      <c r="I50" s="26"/>
      <c r="J50" s="26"/>
      <c r="K50" s="26"/>
      <c r="L50" s="11"/>
    </row>
    <row r="51" spans="1:12">
      <c r="A51" s="19" t="s">
        <v>214</v>
      </c>
      <c r="B51" s="27">
        <v>0.15</v>
      </c>
      <c r="C51" s="19"/>
      <c r="D51" s="19"/>
      <c r="E51" s="25"/>
      <c r="F51" s="25"/>
      <c r="G51" s="25">
        <f>G50*B51</f>
        <v>22.936349999999997</v>
      </c>
      <c r="H51" s="25"/>
      <c r="I51" s="26"/>
      <c r="J51" s="26"/>
      <c r="K51" s="26"/>
      <c r="L51" s="11"/>
    </row>
    <row r="52" spans="1:12">
      <c r="A52" s="19" t="s">
        <v>167</v>
      </c>
      <c r="B52" s="27">
        <v>0.28000000000000003</v>
      </c>
      <c r="C52" s="19"/>
      <c r="D52" s="19"/>
      <c r="E52" s="25"/>
      <c r="F52" s="25"/>
      <c r="G52" s="25">
        <f>G50*B52</f>
        <v>42.814520000000002</v>
      </c>
      <c r="H52" s="25"/>
      <c r="I52" s="26"/>
      <c r="J52" s="26"/>
      <c r="K52" s="26"/>
      <c r="L52" s="11"/>
    </row>
    <row r="53" spans="1:12">
      <c r="A53" s="19" t="s">
        <v>215</v>
      </c>
      <c r="B53" s="27"/>
      <c r="C53" s="19"/>
      <c r="D53" s="19"/>
      <c r="E53" s="25"/>
      <c r="F53" s="25"/>
      <c r="G53" s="25">
        <f>SUM(G50:G52)</f>
        <v>218.65987000000001</v>
      </c>
      <c r="H53" s="25"/>
      <c r="I53" s="26"/>
      <c r="J53" s="26"/>
      <c r="K53" s="26"/>
      <c r="L53" s="11"/>
    </row>
    <row r="54" spans="1:12">
      <c r="A54" s="19" t="s">
        <v>216</v>
      </c>
      <c r="B54" s="27">
        <v>0.4</v>
      </c>
      <c r="C54" s="28">
        <v>0.17</v>
      </c>
      <c r="D54" s="19"/>
      <c r="E54" s="25"/>
      <c r="F54" s="25"/>
      <c r="G54" s="25">
        <f>G53*B54</f>
        <v>87.463948000000016</v>
      </c>
      <c r="H54" s="25">
        <f>G53*C54</f>
        <v>37.172177900000001</v>
      </c>
      <c r="I54" s="26"/>
      <c r="J54" s="26"/>
      <c r="K54" s="26"/>
      <c r="L54" s="11"/>
    </row>
    <row r="55" spans="1:12">
      <c r="A55" s="19" t="s">
        <v>217</v>
      </c>
      <c r="B55" s="27"/>
      <c r="C55" s="19"/>
      <c r="D55" s="19"/>
      <c r="E55" s="25"/>
      <c r="F55" s="25"/>
      <c r="G55" s="25">
        <f>G54+G53</f>
        <v>306.12381800000003</v>
      </c>
      <c r="H55" s="25">
        <f>H54+G53</f>
        <v>255.83204790000002</v>
      </c>
      <c r="I55" s="26"/>
      <c r="J55" s="26"/>
      <c r="K55" s="26"/>
      <c r="L55" s="11"/>
    </row>
    <row r="56" spans="1:12">
      <c r="A56" s="19" t="s">
        <v>218</v>
      </c>
      <c r="B56" s="19"/>
      <c r="C56" s="27">
        <v>0.23</v>
      </c>
      <c r="D56" s="19"/>
      <c r="E56" s="25"/>
      <c r="F56" s="25"/>
      <c r="G56" s="25"/>
      <c r="H56" s="25">
        <f>H55*C56</f>
        <v>58.841371017000007</v>
      </c>
      <c r="I56" s="26"/>
      <c r="J56" s="26"/>
      <c r="K56" s="26"/>
      <c r="L56" s="11"/>
    </row>
    <row r="57" spans="1:12">
      <c r="A57" s="19" t="s">
        <v>219</v>
      </c>
      <c r="B57" s="27"/>
      <c r="C57" s="19"/>
      <c r="D57" s="19"/>
      <c r="E57" s="25"/>
      <c r="F57" s="25"/>
      <c r="G57" s="25"/>
      <c r="H57" s="25">
        <f>H55+H56</f>
        <v>314.67341891700005</v>
      </c>
      <c r="I57" s="26"/>
      <c r="J57" s="26"/>
      <c r="K57" s="26"/>
      <c r="L57" s="11"/>
    </row>
    <row r="58" spans="1:12">
      <c r="A58" s="19" t="s">
        <v>220</v>
      </c>
      <c r="B58" s="27">
        <v>0.33</v>
      </c>
      <c r="C58" s="28">
        <v>0.3</v>
      </c>
      <c r="D58" s="19"/>
      <c r="E58" s="25"/>
      <c r="F58" s="25"/>
      <c r="G58" s="25">
        <f>G55*B58</f>
        <v>101.02085994000001</v>
      </c>
      <c r="H58" s="25">
        <f>H57*C58</f>
        <v>94.402025675100006</v>
      </c>
      <c r="I58" s="26"/>
      <c r="J58" s="26"/>
      <c r="K58" s="26"/>
      <c r="L58" s="11"/>
    </row>
    <row r="59" spans="1:12">
      <c r="A59" s="19" t="s">
        <v>221</v>
      </c>
      <c r="B59" s="27"/>
      <c r="C59" s="19"/>
      <c r="D59" s="19"/>
      <c r="E59" s="25"/>
      <c r="F59" s="25"/>
      <c r="G59" s="25">
        <f>G58+G55</f>
        <v>407.14467794000007</v>
      </c>
      <c r="H59" s="25">
        <f>H58+H57</f>
        <v>409.07544459210004</v>
      </c>
      <c r="I59" s="26"/>
      <c r="J59" s="26"/>
      <c r="K59" s="26"/>
      <c r="L59" s="11"/>
    </row>
    <row r="60" spans="1:12">
      <c r="A60" s="19"/>
      <c r="B60" s="19"/>
      <c r="C60" s="19"/>
      <c r="D60" s="19"/>
      <c r="E60" s="25"/>
      <c r="F60" s="25"/>
      <c r="G60" s="25"/>
      <c r="H60" s="25"/>
      <c r="I60" s="26"/>
      <c r="J60" s="26"/>
      <c r="K60" s="26"/>
      <c r="L60" s="11"/>
    </row>
    <row r="61" spans="1:12">
      <c r="A61" s="19"/>
      <c r="B61" s="19" t="s">
        <v>222</v>
      </c>
      <c r="C61" s="19"/>
      <c r="D61" s="19"/>
      <c r="E61" s="25"/>
      <c r="F61" s="25"/>
      <c r="G61" s="25"/>
      <c r="H61" s="25"/>
      <c r="I61" s="26"/>
      <c r="J61" s="26"/>
      <c r="K61" s="26"/>
      <c r="L61" s="11"/>
    </row>
    <row r="62" spans="1:12">
      <c r="A62" s="19"/>
      <c r="B62" s="19"/>
      <c r="C62" s="19" t="s">
        <v>241</v>
      </c>
      <c r="D62" s="19"/>
      <c r="E62" s="29"/>
      <c r="F62" s="29"/>
      <c r="G62" s="29"/>
      <c r="H62" s="25"/>
      <c r="I62" s="26"/>
      <c r="J62" s="26"/>
      <c r="K62" s="26"/>
      <c r="L62" s="11"/>
    </row>
    <row r="63" spans="1:12">
      <c r="A63" s="19"/>
      <c r="B63" s="19"/>
      <c r="C63" s="19" t="s">
        <v>242</v>
      </c>
      <c r="D63" s="19"/>
      <c r="E63" s="25">
        <v>1</v>
      </c>
      <c r="F63" s="25">
        <v>1.5</v>
      </c>
      <c r="G63" s="25">
        <f>E63*F63</f>
        <v>1.5</v>
      </c>
      <c r="H63" s="25"/>
      <c r="I63" s="26"/>
      <c r="J63" s="26"/>
      <c r="K63" s="26"/>
      <c r="L63" s="11"/>
    </row>
    <row r="64" spans="1:12">
      <c r="A64" s="19"/>
      <c r="B64" s="19"/>
      <c r="C64" s="19" t="s">
        <v>18</v>
      </c>
      <c r="D64" s="19"/>
      <c r="E64" s="25"/>
      <c r="F64" s="25"/>
      <c r="G64" s="25">
        <f>SUM(G63)</f>
        <v>1.5</v>
      </c>
      <c r="H64" s="25"/>
      <c r="I64" s="26"/>
      <c r="J64" s="26"/>
      <c r="K64" s="26"/>
      <c r="L64" s="11"/>
    </row>
    <row r="65" spans="1:12">
      <c r="A65" s="19"/>
      <c r="B65" s="19"/>
      <c r="C65" s="19"/>
      <c r="D65" s="19"/>
      <c r="E65" s="25"/>
      <c r="F65" s="25"/>
      <c r="G65" s="25"/>
      <c r="H65" s="25"/>
      <c r="I65" s="26"/>
      <c r="J65" s="26"/>
      <c r="K65" s="26"/>
      <c r="L65" s="11"/>
    </row>
    <row r="66" spans="1:12">
      <c r="A66" s="19"/>
      <c r="B66" s="19"/>
      <c r="C66" s="19" t="s">
        <v>243</v>
      </c>
      <c r="D66" s="19"/>
      <c r="E66" s="25"/>
      <c r="F66" s="25"/>
      <c r="G66" s="25"/>
      <c r="H66" s="25"/>
      <c r="I66" s="26"/>
      <c r="J66" s="26"/>
      <c r="K66" s="26"/>
      <c r="L66" s="11"/>
    </row>
    <row r="67" spans="1:12">
      <c r="A67" s="19"/>
      <c r="B67" s="19"/>
      <c r="C67" s="19" t="s">
        <v>244</v>
      </c>
      <c r="D67" s="19"/>
      <c r="E67" s="25">
        <v>1</v>
      </c>
      <c r="F67" s="25">
        <v>3.25</v>
      </c>
      <c r="G67" s="25">
        <f t="shared" ref="G67:G76" si="2">E67*F67</f>
        <v>3.25</v>
      </c>
      <c r="H67" s="25"/>
      <c r="I67" s="26">
        <v>45000</v>
      </c>
      <c r="J67" s="26">
        <v>25000</v>
      </c>
      <c r="K67" s="26">
        <v>2000</v>
      </c>
      <c r="L67" s="11"/>
    </row>
    <row r="68" spans="1:12">
      <c r="A68" s="19"/>
      <c r="B68" s="19"/>
      <c r="C68" s="19" t="s">
        <v>245</v>
      </c>
      <c r="D68" s="19"/>
      <c r="E68" s="25">
        <v>1</v>
      </c>
      <c r="F68" s="25">
        <v>1.75</v>
      </c>
      <c r="G68" s="25">
        <f t="shared" si="2"/>
        <v>1.75</v>
      </c>
      <c r="H68" s="25"/>
      <c r="I68" s="26">
        <v>12000</v>
      </c>
      <c r="J68" s="26">
        <v>2000</v>
      </c>
      <c r="K68" s="26">
        <v>3500</v>
      </c>
      <c r="L68" s="11"/>
    </row>
    <row r="69" spans="1:12">
      <c r="A69" s="19"/>
      <c r="B69" s="19"/>
      <c r="C69" s="19" t="s">
        <v>144</v>
      </c>
      <c r="D69" s="19"/>
      <c r="E69" s="25">
        <v>8</v>
      </c>
      <c r="F69" s="25">
        <v>0.05</v>
      </c>
      <c r="G69" s="25">
        <f t="shared" si="2"/>
        <v>0.4</v>
      </c>
      <c r="H69" s="25"/>
      <c r="I69" s="26"/>
      <c r="J69" s="26"/>
      <c r="K69" s="26"/>
      <c r="L69" s="11"/>
    </row>
    <row r="70" spans="1:12">
      <c r="A70" s="19"/>
      <c r="B70" s="19"/>
      <c r="C70" s="19" t="s">
        <v>246</v>
      </c>
      <c r="D70" s="19"/>
      <c r="E70" s="25">
        <v>8</v>
      </c>
      <c r="F70" s="25">
        <v>0.05</v>
      </c>
      <c r="G70" s="25">
        <f t="shared" si="2"/>
        <v>0.4</v>
      </c>
      <c r="H70" s="25"/>
      <c r="I70" s="26"/>
      <c r="J70" s="26"/>
      <c r="K70" s="26"/>
      <c r="L70" s="11"/>
    </row>
    <row r="71" spans="1:12">
      <c r="A71" s="19"/>
      <c r="B71" s="19"/>
      <c r="C71" s="19" t="s">
        <v>247</v>
      </c>
      <c r="D71" s="19"/>
      <c r="E71" s="25">
        <v>2</v>
      </c>
      <c r="F71" s="25">
        <v>1.75</v>
      </c>
      <c r="G71" s="25">
        <f t="shared" si="2"/>
        <v>3.5</v>
      </c>
      <c r="H71" s="25"/>
      <c r="I71" s="26"/>
      <c r="J71" s="26"/>
      <c r="K71" s="26"/>
      <c r="L71" s="11"/>
    </row>
    <row r="72" spans="1:12">
      <c r="A72" s="19"/>
      <c r="B72" s="19"/>
      <c r="C72" s="19" t="s">
        <v>248</v>
      </c>
      <c r="D72" s="19"/>
      <c r="E72" s="25">
        <v>1</v>
      </c>
      <c r="F72" s="25">
        <v>1.25</v>
      </c>
      <c r="G72" s="25">
        <f t="shared" si="2"/>
        <v>1.25</v>
      </c>
      <c r="H72" s="25"/>
      <c r="I72" s="26"/>
      <c r="J72" s="26"/>
      <c r="K72" s="26"/>
      <c r="L72" s="11"/>
    </row>
    <row r="73" spans="1:12">
      <c r="A73" s="19"/>
      <c r="B73" s="19"/>
      <c r="C73" s="19" t="s">
        <v>249</v>
      </c>
      <c r="D73" s="19"/>
      <c r="E73" s="25">
        <v>1</v>
      </c>
      <c r="F73" s="25">
        <v>0.25</v>
      </c>
      <c r="G73" s="25">
        <f t="shared" si="2"/>
        <v>0.25</v>
      </c>
      <c r="H73" s="25"/>
      <c r="I73" s="26"/>
      <c r="J73" s="26"/>
      <c r="K73" s="26"/>
      <c r="L73" s="11"/>
    </row>
    <row r="74" spans="1:12">
      <c r="A74" s="19"/>
      <c r="B74" s="19"/>
      <c r="C74" s="19" t="s">
        <v>250</v>
      </c>
      <c r="D74" s="19"/>
      <c r="E74" s="25">
        <v>4</v>
      </c>
      <c r="F74" s="25">
        <v>0.02</v>
      </c>
      <c r="G74" s="25">
        <f t="shared" si="2"/>
        <v>0.08</v>
      </c>
      <c r="H74" s="25"/>
      <c r="I74" s="26"/>
      <c r="J74" s="26"/>
      <c r="K74" s="26"/>
      <c r="L74" s="11"/>
    </row>
    <row r="75" spans="1:12">
      <c r="A75" s="19"/>
      <c r="B75" s="19"/>
      <c r="C75" s="19" t="s">
        <v>251</v>
      </c>
      <c r="D75" s="19"/>
      <c r="E75" s="25">
        <v>1</v>
      </c>
      <c r="F75" s="25">
        <v>0.75</v>
      </c>
      <c r="G75" s="25">
        <f t="shared" si="2"/>
        <v>0.75</v>
      </c>
      <c r="H75" s="25"/>
      <c r="I75" s="26"/>
      <c r="J75" s="26"/>
      <c r="K75" s="26"/>
      <c r="L75" s="11"/>
    </row>
    <row r="76" spans="1:12">
      <c r="A76" s="19"/>
      <c r="B76" s="19"/>
      <c r="C76" s="19" t="s">
        <v>275</v>
      </c>
      <c r="D76" s="19"/>
      <c r="E76" s="25">
        <v>1</v>
      </c>
      <c r="F76" s="25">
        <v>5</v>
      </c>
      <c r="G76" s="25">
        <f t="shared" si="2"/>
        <v>5</v>
      </c>
      <c r="H76" s="25"/>
      <c r="I76" s="26"/>
      <c r="J76" s="26"/>
      <c r="K76" s="26"/>
      <c r="L76" s="11"/>
    </row>
    <row r="77" spans="1:12">
      <c r="A77" s="19"/>
      <c r="B77" s="19"/>
      <c r="C77" s="19" t="s">
        <v>19</v>
      </c>
      <c r="D77" s="19"/>
      <c r="E77" s="25"/>
      <c r="F77" s="25"/>
      <c r="G77" s="25">
        <f>SUM(G67:G76)</f>
        <v>16.630000000000003</v>
      </c>
      <c r="H77" s="25"/>
      <c r="I77" s="26"/>
      <c r="J77" s="26"/>
      <c r="K77" s="26"/>
      <c r="L77" s="11"/>
    </row>
    <row r="78" spans="1:12">
      <c r="A78" s="19"/>
      <c r="B78" s="19"/>
      <c r="C78" s="19"/>
      <c r="D78" s="19"/>
      <c r="E78" s="25"/>
      <c r="F78" s="25"/>
      <c r="G78" s="25"/>
      <c r="H78" s="25"/>
      <c r="I78" s="26"/>
      <c r="J78" s="26"/>
      <c r="K78" s="26"/>
      <c r="L78" s="11"/>
    </row>
    <row r="79" spans="1:12">
      <c r="A79" s="19"/>
      <c r="B79" s="19"/>
      <c r="C79" s="19"/>
      <c r="D79" s="19" t="s">
        <v>252</v>
      </c>
      <c r="E79" s="25">
        <v>1</v>
      </c>
      <c r="F79" s="25"/>
      <c r="G79" s="25">
        <f>60-G73</f>
        <v>59.75</v>
      </c>
      <c r="H79" s="25"/>
      <c r="I79" s="26"/>
      <c r="J79" s="26"/>
      <c r="K79" s="26"/>
      <c r="L79" s="11"/>
    </row>
    <row r="80" spans="1:12">
      <c r="A80" s="19"/>
      <c r="B80" s="19"/>
      <c r="C80" s="19"/>
      <c r="D80" s="19" t="s">
        <v>19</v>
      </c>
      <c r="E80" s="25"/>
      <c r="F80" s="25"/>
      <c r="G80" s="25">
        <f>SUM(G79)</f>
        <v>59.75</v>
      </c>
      <c r="H80" s="25"/>
      <c r="I80" s="26"/>
      <c r="J80" s="26"/>
      <c r="K80" s="26"/>
      <c r="L80" s="11"/>
    </row>
    <row r="81" spans="1:12">
      <c r="A81" s="19"/>
      <c r="B81" s="19"/>
      <c r="C81" s="19"/>
      <c r="D81" s="19"/>
      <c r="E81" s="25"/>
      <c r="F81" s="25"/>
      <c r="G81" s="25"/>
      <c r="H81" s="25"/>
      <c r="I81" s="26"/>
      <c r="J81" s="26"/>
      <c r="K81" s="26"/>
      <c r="L81" s="11"/>
    </row>
    <row r="82" spans="1:12">
      <c r="A82" s="19"/>
      <c r="B82" s="19"/>
      <c r="C82" s="19" t="s">
        <v>20</v>
      </c>
      <c r="D82" s="19"/>
      <c r="E82" s="25"/>
      <c r="F82" s="25"/>
      <c r="G82" s="25"/>
      <c r="H82" s="25"/>
      <c r="I82" s="26"/>
      <c r="J82" s="26"/>
      <c r="K82" s="26"/>
      <c r="L82" s="11"/>
    </row>
    <row r="83" spans="1:12">
      <c r="A83" s="19"/>
      <c r="B83" s="19"/>
      <c r="C83" s="19" t="s">
        <v>211</v>
      </c>
      <c r="D83" s="19"/>
      <c r="E83" s="25">
        <v>1</v>
      </c>
      <c r="F83" s="25">
        <v>0.5</v>
      </c>
      <c r="G83" s="25">
        <f>E83*F83</f>
        <v>0.5</v>
      </c>
      <c r="H83" s="25"/>
      <c r="I83" s="26"/>
      <c r="J83" s="26"/>
      <c r="K83" s="26"/>
      <c r="L83" s="11"/>
    </row>
    <row r="84" spans="1:12">
      <c r="A84" s="19"/>
      <c r="B84" s="19"/>
      <c r="C84" s="19" t="s">
        <v>212</v>
      </c>
      <c r="D84" s="19"/>
      <c r="E84" s="25">
        <v>1</v>
      </c>
      <c r="F84" s="25">
        <v>0.75</v>
      </c>
      <c r="G84" s="25">
        <f>E84*F84</f>
        <v>0.75</v>
      </c>
      <c r="H84" s="25"/>
      <c r="I84" s="26"/>
      <c r="J84" s="26"/>
      <c r="K84" s="26"/>
      <c r="L84" s="11"/>
    </row>
    <row r="85" spans="1:12">
      <c r="A85" s="19"/>
      <c r="B85" s="19"/>
      <c r="C85" s="19" t="s">
        <v>17</v>
      </c>
      <c r="D85" s="19"/>
      <c r="E85" s="25"/>
      <c r="F85" s="25"/>
      <c r="G85" s="25">
        <f>SUM(G83:G84)</f>
        <v>1.25</v>
      </c>
      <c r="H85" s="25"/>
      <c r="I85" s="26"/>
      <c r="J85" s="26"/>
      <c r="K85" s="26"/>
      <c r="L85" s="11"/>
    </row>
    <row r="86" spans="1:12">
      <c r="A86" s="19"/>
      <c r="B86" s="19"/>
      <c r="C86" s="19"/>
      <c r="D86" s="19"/>
      <c r="E86" s="25"/>
      <c r="F86" s="25"/>
      <c r="G86" s="25"/>
      <c r="H86" s="25"/>
      <c r="I86" s="26"/>
      <c r="J86" s="26"/>
      <c r="K86" s="26"/>
      <c r="L86" s="11"/>
    </row>
    <row r="87" spans="1:12">
      <c r="A87" s="19" t="s">
        <v>253</v>
      </c>
      <c r="B87" s="19"/>
      <c r="C87" s="19"/>
      <c r="D87" s="19"/>
      <c r="E87" s="25"/>
      <c r="F87" s="25"/>
      <c r="G87" s="25">
        <f>G85+G80+G77+G64</f>
        <v>79.13</v>
      </c>
      <c r="H87" s="25"/>
      <c r="I87" s="26"/>
      <c r="J87" s="26"/>
      <c r="K87" s="26"/>
      <c r="L87" s="11"/>
    </row>
    <row r="88" spans="1:12">
      <c r="A88" s="19" t="s">
        <v>214</v>
      </c>
      <c r="B88" s="23">
        <v>0.15</v>
      </c>
      <c r="C88" s="23"/>
      <c r="D88" s="19"/>
      <c r="E88" s="25"/>
      <c r="F88" s="25"/>
      <c r="G88" s="25">
        <f>G87*B88</f>
        <v>11.869499999999999</v>
      </c>
      <c r="H88" s="25"/>
      <c r="I88" s="26"/>
      <c r="J88" s="26"/>
      <c r="K88" s="26"/>
      <c r="L88" s="11"/>
    </row>
    <row r="89" spans="1:12">
      <c r="A89" s="19" t="s">
        <v>167</v>
      </c>
      <c r="B89" s="23">
        <v>0.28000000000000003</v>
      </c>
      <c r="C89" s="23"/>
      <c r="D89" s="19"/>
      <c r="E89" s="25"/>
      <c r="F89" s="25"/>
      <c r="G89" s="25">
        <f>G87*B89</f>
        <v>22.156400000000001</v>
      </c>
      <c r="H89" s="25"/>
      <c r="I89" s="26"/>
      <c r="J89" s="26"/>
      <c r="K89" s="26"/>
      <c r="L89" s="11"/>
    </row>
    <row r="90" spans="1:12">
      <c r="A90" s="19" t="s">
        <v>215</v>
      </c>
      <c r="B90" s="23"/>
      <c r="C90" s="23"/>
      <c r="D90" s="19"/>
      <c r="E90" s="25"/>
      <c r="F90" s="25"/>
      <c r="G90" s="25">
        <f>SUM(G87:G89)</f>
        <v>113.1559</v>
      </c>
      <c r="H90" s="25"/>
      <c r="I90" s="26"/>
      <c r="J90" s="26"/>
      <c r="K90" s="26"/>
      <c r="L90" s="11"/>
    </row>
    <row r="91" spans="1:12">
      <c r="A91" s="19" t="s">
        <v>216</v>
      </c>
      <c r="B91" s="23">
        <v>0.4</v>
      </c>
      <c r="C91" s="23">
        <v>0.17</v>
      </c>
      <c r="D91" s="19"/>
      <c r="E91" s="25"/>
      <c r="F91" s="25"/>
      <c r="G91" s="25">
        <f>G90*B91</f>
        <v>45.262360000000001</v>
      </c>
      <c r="H91" s="25">
        <f>G90*C91</f>
        <v>19.236503000000003</v>
      </c>
      <c r="I91" s="26"/>
      <c r="J91" s="26"/>
      <c r="K91" s="26"/>
      <c r="L91" s="11"/>
    </row>
    <row r="92" spans="1:12">
      <c r="A92" s="19" t="s">
        <v>217</v>
      </c>
      <c r="B92" s="23"/>
      <c r="C92" s="23"/>
      <c r="D92" s="19"/>
      <c r="E92" s="25"/>
      <c r="F92" s="25"/>
      <c r="G92" s="25">
        <f>G91+G90</f>
        <v>158.41826</v>
      </c>
      <c r="H92" s="25">
        <f>H91+G90</f>
        <v>132.392403</v>
      </c>
      <c r="I92" s="26"/>
      <c r="J92" s="26"/>
      <c r="K92" s="26"/>
      <c r="L92" s="11"/>
    </row>
    <row r="93" spans="1:12">
      <c r="A93" s="19" t="s">
        <v>218</v>
      </c>
      <c r="B93" s="23"/>
      <c r="C93" s="23">
        <v>0.23</v>
      </c>
      <c r="D93" s="19"/>
      <c r="E93" s="25"/>
      <c r="F93" s="25"/>
      <c r="G93" s="25"/>
      <c r="H93" s="25">
        <f>H92*C93</f>
        <v>30.450252690000003</v>
      </c>
      <c r="I93" s="26"/>
      <c r="J93" s="26"/>
      <c r="K93" s="26"/>
      <c r="L93" s="11"/>
    </row>
    <row r="94" spans="1:12">
      <c r="A94" s="19" t="s">
        <v>219</v>
      </c>
      <c r="B94" s="23"/>
      <c r="C94" s="23"/>
      <c r="D94" s="19"/>
      <c r="E94" s="25"/>
      <c r="F94" s="25"/>
      <c r="G94" s="25"/>
      <c r="H94" s="25">
        <f>H93+H92</f>
        <v>162.84265569000002</v>
      </c>
      <c r="I94" s="26"/>
      <c r="J94" s="26"/>
      <c r="K94" s="26"/>
      <c r="L94" s="11"/>
    </row>
    <row r="95" spans="1:12">
      <c r="A95" s="19" t="s">
        <v>220</v>
      </c>
      <c r="B95" s="23">
        <v>0.33</v>
      </c>
      <c r="C95" s="23">
        <v>0.3</v>
      </c>
      <c r="D95" s="19"/>
      <c r="E95" s="25"/>
      <c r="F95" s="25"/>
      <c r="G95" s="25">
        <f>G92*B95</f>
        <v>52.278025800000002</v>
      </c>
      <c r="H95" s="25">
        <f>H94*C95</f>
        <v>48.852796707000003</v>
      </c>
      <c r="I95" s="26"/>
      <c r="J95" s="26"/>
      <c r="K95" s="26"/>
      <c r="L95" s="11"/>
    </row>
    <row r="96" spans="1:12">
      <c r="A96" s="19" t="s">
        <v>221</v>
      </c>
      <c r="B96" s="23"/>
      <c r="C96" s="23"/>
      <c r="D96" s="19"/>
      <c r="E96" s="25"/>
      <c r="F96" s="25"/>
      <c r="G96" s="25">
        <f>G95+G92</f>
        <v>210.6962858</v>
      </c>
      <c r="H96" s="25">
        <f>H95+H94</f>
        <v>211.69545239700003</v>
      </c>
      <c r="I96" s="26"/>
      <c r="J96" s="26"/>
      <c r="K96" s="26"/>
      <c r="L96" s="11"/>
    </row>
    <row r="97" spans="1:12">
      <c r="A97" s="19"/>
      <c r="B97" s="19"/>
      <c r="C97" s="19"/>
      <c r="D97" s="19"/>
      <c r="E97" s="19"/>
      <c r="F97" s="19"/>
      <c r="G97" s="19"/>
      <c r="H97" s="19"/>
      <c r="I97" s="26"/>
      <c r="J97" s="26"/>
      <c r="K97" s="26"/>
      <c r="L97" s="11"/>
    </row>
    <row r="98" spans="1:12">
      <c r="A98" s="19" t="s">
        <v>254</v>
      </c>
      <c r="B98" s="19"/>
      <c r="C98" s="19"/>
      <c r="D98" s="19"/>
      <c r="E98" s="19"/>
      <c r="F98" s="19"/>
      <c r="G98" s="19"/>
      <c r="H98" s="19"/>
      <c r="I98" s="26">
        <f>SUM(I8:I96)</f>
        <v>177000</v>
      </c>
      <c r="J98" s="26">
        <f>SUM(J8:J96)</f>
        <v>86000</v>
      </c>
      <c r="K98" s="26">
        <f>SUM(K8:K96)</f>
        <v>10900</v>
      </c>
      <c r="L98" s="11"/>
    </row>
    <row r="99" spans="1:12">
      <c r="A99" s="19" t="s">
        <v>255</v>
      </c>
      <c r="B99" s="19"/>
      <c r="C99" s="19"/>
      <c r="D99" s="25"/>
      <c r="E99" s="19"/>
      <c r="F99" s="19"/>
      <c r="G99" s="19"/>
      <c r="H99" s="19"/>
      <c r="I99" s="26">
        <f>I98*0.2</f>
        <v>35400</v>
      </c>
      <c r="J99" s="26">
        <f>J98*0.2</f>
        <v>17200</v>
      </c>
      <c r="K99" s="26">
        <f>K98*0.15</f>
        <v>1635</v>
      </c>
      <c r="L99" s="11"/>
    </row>
    <row r="100" spans="1:12">
      <c r="A100" s="19"/>
      <c r="B100" s="19" t="s">
        <v>256</v>
      </c>
      <c r="C100" s="19"/>
      <c r="D100" s="25">
        <f>G87+G88</f>
        <v>90.999499999999998</v>
      </c>
      <c r="E100" s="19"/>
      <c r="F100" s="19"/>
      <c r="G100" s="19"/>
      <c r="H100" s="19"/>
      <c r="I100" s="26">
        <f>SUM(I98:I99)</f>
        <v>212400</v>
      </c>
      <c r="J100" s="26">
        <f>SUM(J98:J99)</f>
        <v>103200</v>
      </c>
      <c r="K100" s="26">
        <f>SUM(K98:K99)</f>
        <v>12535</v>
      </c>
      <c r="L100" s="11"/>
    </row>
    <row r="101" spans="1:12">
      <c r="A101" s="19"/>
      <c r="B101" s="19" t="s">
        <v>257</v>
      </c>
      <c r="C101" s="19"/>
      <c r="D101" s="25">
        <f>G50+G51</f>
        <v>175.84535</v>
      </c>
      <c r="E101" s="19"/>
      <c r="F101" s="19"/>
      <c r="G101" s="19"/>
      <c r="H101" s="19"/>
      <c r="I101" s="19" t="s">
        <v>258</v>
      </c>
      <c r="J101" s="19" t="s">
        <v>259</v>
      </c>
      <c r="K101" s="19" t="s">
        <v>260</v>
      </c>
      <c r="L101" s="11"/>
    </row>
    <row r="102" spans="1:12">
      <c r="A102" s="19"/>
      <c r="B102" s="19" t="s">
        <v>261</v>
      </c>
      <c r="C102" s="19"/>
      <c r="D102" s="25">
        <f>D100+D101</f>
        <v>266.84485000000001</v>
      </c>
      <c r="E102" s="19"/>
      <c r="F102" s="19"/>
      <c r="G102" s="19"/>
      <c r="H102" s="19"/>
      <c r="I102" s="19"/>
      <c r="J102" s="19"/>
      <c r="K102" s="19"/>
      <c r="L102" s="11"/>
    </row>
    <row r="103" spans="1:12">
      <c r="A103" s="19"/>
      <c r="B103" s="19"/>
      <c r="C103" s="19"/>
      <c r="D103" s="25"/>
      <c r="E103" s="19"/>
      <c r="F103" s="19"/>
      <c r="G103" s="19"/>
      <c r="H103" s="19"/>
      <c r="I103" s="19"/>
      <c r="J103" s="19"/>
      <c r="K103" s="19"/>
      <c r="L103" s="11"/>
    </row>
    <row r="104" spans="1:12">
      <c r="A104" s="19"/>
      <c r="B104" s="19" t="s">
        <v>262</v>
      </c>
      <c r="C104" s="19"/>
      <c r="D104" s="25">
        <f>G92+G55</f>
        <v>464.54207800000006</v>
      </c>
      <c r="E104" s="19"/>
      <c r="F104" s="19"/>
      <c r="G104" s="19"/>
      <c r="H104" s="19"/>
      <c r="I104" s="19"/>
      <c r="J104" s="19"/>
      <c r="K104" s="19"/>
      <c r="L104" s="11"/>
    </row>
    <row r="105" spans="1:12">
      <c r="A105" s="19"/>
      <c r="B105" s="19" t="s">
        <v>263</v>
      </c>
      <c r="C105" s="19"/>
      <c r="D105" s="25">
        <f>G96+G59</f>
        <v>617.84096374000001</v>
      </c>
      <c r="E105" s="19"/>
      <c r="F105" s="19"/>
      <c r="G105" s="19"/>
      <c r="H105" s="19"/>
      <c r="I105" s="19"/>
      <c r="J105" s="19"/>
      <c r="K105" s="19"/>
      <c r="L105" s="11"/>
    </row>
    <row r="106" spans="1:12">
      <c r="A106" s="19"/>
      <c r="B106" s="19" t="s">
        <v>264</v>
      </c>
      <c r="C106" s="19"/>
      <c r="D106" s="25">
        <f>(D105+D104)/2</f>
        <v>541.19152086999998</v>
      </c>
      <c r="E106" s="19"/>
      <c r="F106" s="19"/>
      <c r="G106" s="19"/>
      <c r="H106" s="19"/>
      <c r="I106" s="19"/>
      <c r="J106" s="19"/>
      <c r="K106" s="19"/>
      <c r="L106" s="11"/>
    </row>
    <row r="107" spans="1:12">
      <c r="H107" s="11"/>
      <c r="I107" s="11"/>
      <c r="J107" s="11"/>
      <c r="K107" s="11"/>
      <c r="L107" s="11"/>
    </row>
    <row r="108" spans="1:12">
      <c r="H108" s="11"/>
      <c r="I108" s="11"/>
      <c r="J108" s="11"/>
      <c r="K108" s="11"/>
      <c r="L108" s="11"/>
    </row>
  </sheetData>
  <phoneticPr fontId="3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I16"/>
  <sheetViews>
    <sheetView zoomScale="125" workbookViewId="0">
      <pane xSplit="1" topLeftCell="B1" activePane="topRight" state="frozen"/>
      <selection pane="topRight" sqref="A1:A2"/>
    </sheetView>
  </sheetViews>
  <sheetFormatPr baseColWidth="10" defaultRowHeight="13"/>
  <cols>
    <col min="1" max="1" width="15.140625" bestFit="1" customWidth="1"/>
  </cols>
  <sheetData>
    <row r="1" spans="1:9">
      <c r="A1" s="42" t="s">
        <v>64</v>
      </c>
      <c r="B1" s="1"/>
      <c r="C1" s="1"/>
      <c r="D1" s="1"/>
      <c r="E1" s="1"/>
      <c r="F1" s="1"/>
    </row>
    <row r="2" spans="1:9">
      <c r="A2" s="42" t="s">
        <v>65</v>
      </c>
      <c r="B2" s="1"/>
      <c r="C2" s="1"/>
      <c r="D2" s="1"/>
      <c r="E2" s="1"/>
      <c r="F2" s="1"/>
    </row>
    <row r="3" spans="1:9">
      <c r="A3" s="1"/>
      <c r="B3" s="1"/>
      <c r="C3" s="1"/>
      <c r="D3" s="1"/>
      <c r="E3" s="1"/>
      <c r="F3" s="1"/>
    </row>
    <row r="4" spans="1:9">
      <c r="A4" s="22"/>
      <c r="B4" s="22">
        <v>2009</v>
      </c>
      <c r="C4" s="22">
        <v>2010</v>
      </c>
      <c r="D4" s="22">
        <v>2011</v>
      </c>
      <c r="E4" s="22">
        <v>2012</v>
      </c>
      <c r="F4" s="22">
        <v>2013</v>
      </c>
      <c r="G4" s="9"/>
      <c r="H4" s="9"/>
      <c r="I4" s="9"/>
    </row>
    <row r="5" spans="1:9">
      <c r="A5" s="22"/>
      <c r="B5" s="22"/>
      <c r="C5" s="22"/>
      <c r="D5" s="22"/>
      <c r="E5" s="22"/>
      <c r="F5" s="22"/>
      <c r="G5" s="9"/>
      <c r="H5" s="9"/>
      <c r="I5" s="9"/>
    </row>
    <row r="6" spans="1:9">
      <c r="A6" s="22" t="s">
        <v>266</v>
      </c>
      <c r="B6" s="23">
        <v>0.15</v>
      </c>
      <c r="C6" s="23">
        <v>0.2</v>
      </c>
      <c r="D6" s="23">
        <v>0.4</v>
      </c>
      <c r="E6" s="23">
        <v>0.46</v>
      </c>
      <c r="F6" s="23">
        <v>0.52</v>
      </c>
      <c r="G6" s="10"/>
      <c r="H6" s="10"/>
      <c r="I6" s="10"/>
    </row>
    <row r="7" spans="1:9">
      <c r="A7" s="22" t="s">
        <v>267</v>
      </c>
      <c r="B7" s="23">
        <v>0.2</v>
      </c>
      <c r="C7" s="23">
        <v>0.21</v>
      </c>
      <c r="D7" s="23">
        <v>0.22</v>
      </c>
      <c r="E7" s="23">
        <v>0.17</v>
      </c>
      <c r="F7" s="23">
        <v>0.12</v>
      </c>
      <c r="G7" s="10"/>
      <c r="H7" s="10"/>
      <c r="I7" s="10"/>
    </row>
    <row r="8" spans="1:9">
      <c r="A8" s="22" t="s">
        <v>268</v>
      </c>
      <c r="B8" s="23">
        <v>0.15</v>
      </c>
      <c r="C8" s="23">
        <v>0.33</v>
      </c>
      <c r="D8" s="23">
        <v>0.25</v>
      </c>
      <c r="E8" s="23">
        <v>0.26</v>
      </c>
      <c r="F8" s="23">
        <v>0.28000000000000003</v>
      </c>
      <c r="G8" s="10"/>
      <c r="H8" s="10"/>
      <c r="I8" s="10"/>
    </row>
    <row r="9" spans="1:9">
      <c r="A9" s="19" t="s">
        <v>269</v>
      </c>
      <c r="B9" s="23">
        <v>0.03</v>
      </c>
      <c r="C9" s="23">
        <v>0.08</v>
      </c>
      <c r="D9" s="23">
        <v>0.08</v>
      </c>
      <c r="E9" s="23">
        <v>0.08</v>
      </c>
      <c r="F9" s="23">
        <v>0.1</v>
      </c>
      <c r="G9" s="10"/>
      <c r="H9" s="10"/>
      <c r="I9" s="10"/>
    </row>
    <row r="10" spans="1:9">
      <c r="A10" s="19" t="s">
        <v>176</v>
      </c>
      <c r="B10" s="23">
        <v>0.12</v>
      </c>
      <c r="C10" s="23">
        <v>0.2</v>
      </c>
      <c r="D10" s="23">
        <v>0.17</v>
      </c>
      <c r="E10" s="23">
        <v>0.17</v>
      </c>
      <c r="F10" s="23">
        <v>0.17</v>
      </c>
      <c r="G10" s="10"/>
      <c r="H10" s="10"/>
      <c r="I10" s="10"/>
    </row>
    <row r="11" spans="1:9">
      <c r="A11" s="22" t="s">
        <v>270</v>
      </c>
      <c r="B11" s="23">
        <v>0</v>
      </c>
      <c r="C11" s="23">
        <v>0.01</v>
      </c>
      <c r="D11" s="23">
        <v>0.03</v>
      </c>
      <c r="E11" s="23">
        <v>0.04</v>
      </c>
      <c r="F11" s="23">
        <v>0.04</v>
      </c>
      <c r="G11" s="10"/>
      <c r="H11" s="10"/>
      <c r="I11" s="10"/>
    </row>
    <row r="12" spans="1:9">
      <c r="A12" s="22" t="s">
        <v>271</v>
      </c>
      <c r="B12" s="23">
        <v>0.5</v>
      </c>
      <c r="C12" s="23">
        <v>0.3</v>
      </c>
      <c r="D12" s="23">
        <v>0.1</v>
      </c>
      <c r="E12" s="23">
        <v>0.08</v>
      </c>
      <c r="F12" s="23">
        <v>0.05</v>
      </c>
      <c r="G12" s="10"/>
      <c r="H12" s="10"/>
      <c r="I12" s="10"/>
    </row>
    <row r="13" spans="1:9">
      <c r="A13" s="22"/>
      <c r="B13" s="23"/>
      <c r="C13" s="23"/>
      <c r="D13" s="23"/>
      <c r="E13" s="23"/>
      <c r="F13" s="23"/>
      <c r="G13" s="10"/>
      <c r="H13" s="10"/>
      <c r="I13" s="10"/>
    </row>
    <row r="14" spans="1:9">
      <c r="A14" s="19" t="s">
        <v>272</v>
      </c>
      <c r="B14" s="23">
        <f t="shared" ref="B14:F14" si="0">B12+B9</f>
        <v>0.53</v>
      </c>
      <c r="C14" s="23">
        <f t="shared" si="0"/>
        <v>0.38</v>
      </c>
      <c r="D14" s="23">
        <f t="shared" si="0"/>
        <v>0.18</v>
      </c>
      <c r="E14" s="23">
        <f t="shared" si="0"/>
        <v>0.16</v>
      </c>
      <c r="F14" s="23">
        <f t="shared" si="0"/>
        <v>0.15000000000000002</v>
      </c>
      <c r="G14" s="10"/>
      <c r="H14" s="10"/>
      <c r="I14" s="10"/>
    </row>
    <row r="15" spans="1:9">
      <c r="A15" s="19" t="s">
        <v>273</v>
      </c>
      <c r="B15" s="23">
        <f>B11+B10+B7+B6</f>
        <v>0.47</v>
      </c>
      <c r="C15" s="23">
        <f>C11+C10+C7+C6</f>
        <v>0.62000000000000011</v>
      </c>
      <c r="D15" s="23">
        <f t="shared" ref="D15:F15" si="1">D7+D6</f>
        <v>0.62</v>
      </c>
      <c r="E15" s="23">
        <f t="shared" si="1"/>
        <v>0.63</v>
      </c>
      <c r="F15" s="23">
        <f t="shared" si="1"/>
        <v>0.64</v>
      </c>
      <c r="G15" s="10"/>
      <c r="H15" s="10"/>
      <c r="I15" s="10"/>
    </row>
    <row r="16" spans="1:9">
      <c r="A16" s="19" t="s">
        <v>274</v>
      </c>
      <c r="B16" s="23"/>
      <c r="C16" s="23"/>
      <c r="D16" s="23">
        <f t="shared" ref="D16:F16" si="2">D11+D10</f>
        <v>0.2</v>
      </c>
      <c r="E16" s="23">
        <f t="shared" si="2"/>
        <v>0.21000000000000002</v>
      </c>
      <c r="F16" s="23">
        <f t="shared" si="2"/>
        <v>0.21000000000000002</v>
      </c>
      <c r="G16" s="10"/>
      <c r="H16" s="10"/>
      <c r="I16" s="10"/>
    </row>
  </sheetData>
  <phoneticPr fontId="3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Revenue</vt:lpstr>
      <vt:lpstr>Expenses</vt:lpstr>
      <vt:lpstr>COGS</vt:lpstr>
      <vt:lpstr>Head Count</vt:lpstr>
      <vt:lpstr>Bill of Materials</vt:lpstr>
      <vt:lpstr>Distribution Model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Smith</dc:creator>
  <cp:lastModifiedBy>Richard Smith</cp:lastModifiedBy>
  <dcterms:created xsi:type="dcterms:W3CDTF">2009-02-04T03:01:01Z</dcterms:created>
  <dcterms:modified xsi:type="dcterms:W3CDTF">2009-02-08T22:33:00Z</dcterms:modified>
</cp:coreProperties>
</file>